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改造需求工程量" sheetId="4" r:id="rId1"/>
    <sheet name="资金支付节点" sheetId="3" state="hidden" r:id="rId2"/>
    <sheet name="Sheet1 (2)" sheetId="2" state="hidden" r:id="rId3"/>
  </sheets>
  <definedNames>
    <definedName name="_xlnm.Print_Titles" localSheetId="0">改造需求工程量!$2:$2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<sst xmlns="http://schemas.openxmlformats.org/spreadsheetml/2006/main" count="151">
  <si>
    <t>广州市天河区中医医院医疗垃圾站改造工程工程量</t>
  </si>
  <si>
    <t>序号</t>
  </si>
  <si>
    <t>工程项目</t>
  </si>
  <si>
    <t>单位</t>
  </si>
  <si>
    <t>数量</t>
  </si>
  <si>
    <t>备注</t>
  </si>
  <si>
    <t>1</t>
  </si>
  <si>
    <t>原有垃圾站拆除（含钢结构、墻体、屋面、地面及电气系统拆除等）</t>
  </si>
  <si>
    <t>m2</t>
  </si>
  <si>
    <t>拆除及清运</t>
  </si>
  <si>
    <t>2</t>
  </si>
  <si>
    <t>危险品医废暂存间1#-3#房挖排污渠</t>
  </si>
  <si>
    <t>项</t>
  </si>
  <si>
    <t>3</t>
  </si>
  <si>
    <t>暂存间清理、清洗、地面打磨及除尘</t>
  </si>
  <si>
    <t>4</t>
  </si>
  <si>
    <t>暂存间及垃圾房地面找平</t>
  </si>
  <si>
    <t>5</t>
  </si>
  <si>
    <t>地面防水处理及环氧地坪施工</t>
  </si>
  <si>
    <t>6</t>
  </si>
  <si>
    <t>不锈钢排水槽（面板20mm）</t>
  </si>
  <si>
    <t>m</t>
  </si>
  <si>
    <t>7</t>
  </si>
  <si>
    <t>新做钢结构框架（含钢架喷漆）</t>
  </si>
  <si>
    <t>8</t>
  </si>
  <si>
    <t>不锈钢门（总面积约25㎡）</t>
  </si>
  <si>
    <t>樘</t>
  </si>
  <si>
    <t>9</t>
  </si>
  <si>
    <t>玻镁彩钢板（含地面与板房接口阴角用耐候胶密封及装饰铝材收边）</t>
  </si>
  <si>
    <t>10</t>
  </si>
  <si>
    <t>洗手盆（含排水管及配件安）</t>
  </si>
  <si>
    <t>个</t>
  </si>
  <si>
    <t>11</t>
  </si>
  <si>
    <t>PPR给水管</t>
  </si>
  <si>
    <t>米</t>
  </si>
  <si>
    <t>12</t>
  </si>
  <si>
    <t>UPVC排水管</t>
  </si>
  <si>
    <t>13</t>
  </si>
  <si>
    <t>标示牌（室外防水）</t>
  </si>
  <si>
    <t>14</t>
  </si>
  <si>
    <t>紫外线灭菌灯30W</t>
  </si>
  <si>
    <t>套</t>
  </si>
  <si>
    <t>15</t>
  </si>
  <si>
    <t>荧光灯（T8灯、灯架）</t>
  </si>
  <si>
    <t>16</t>
  </si>
  <si>
    <t>电线（2.5mm、4mm）</t>
  </si>
  <si>
    <t>17</t>
  </si>
  <si>
    <t>电气配管PVC</t>
  </si>
  <si>
    <t>18</t>
  </si>
  <si>
    <t>86型开关、插座</t>
  </si>
  <si>
    <t>19</t>
  </si>
  <si>
    <t>砌消防沙池</t>
  </si>
  <si>
    <t>约6平方，池高20CM</t>
  </si>
  <si>
    <t>20</t>
  </si>
  <si>
    <t>现场安全文明施工费（含国蔽、安全标识等）</t>
  </si>
  <si>
    <t>21</t>
  </si>
  <si>
    <t>建筑垃圾清运、场地打扫费</t>
  </si>
  <si>
    <t>工程项目或费用名称</t>
  </si>
  <si>
    <t>计算</t>
  </si>
  <si>
    <t>总投资额(万元)</t>
  </si>
  <si>
    <t>经济指标</t>
  </si>
  <si>
    <t>占总投资(%)</t>
  </si>
  <si>
    <t>基础</t>
  </si>
  <si>
    <t>建安工程费</t>
  </si>
  <si>
    <t>设备购置费</t>
  </si>
  <si>
    <t>其它费用</t>
  </si>
  <si>
    <t>合计</t>
  </si>
  <si>
    <t>(元/单位)</t>
  </si>
  <si>
    <t>前期工作、方案设计阶段、项目建议书报批立项</t>
  </si>
  <si>
    <t>预算编制、审核及招投标阶段</t>
  </si>
  <si>
    <t>土建施工、设备安装阶段</t>
  </si>
  <si>
    <t>系统调试、竣工验收阶段</t>
  </si>
  <si>
    <t>一</t>
  </si>
  <si>
    <t>96通道核酸提取仪</t>
  </si>
  <si>
    <t>台</t>
  </si>
  <si>
    <t>48通道核酸提取仪</t>
  </si>
  <si>
    <t>自动分液系统</t>
  </si>
  <si>
    <t>分杯处理系统</t>
  </si>
  <si>
    <t>荧光定量PCR仪</t>
  </si>
  <si>
    <t>双人安全柜 A2</t>
  </si>
  <si>
    <t>双人安全柜 B2</t>
  </si>
  <si>
    <t>低温冷冻离心机</t>
  </si>
  <si>
    <t>医用存储冰箱（冷藏，大容量）</t>
  </si>
  <si>
    <t>医用存储冰箱（冷冻，大容量）</t>
  </si>
  <si>
    <t>移动消毒机器人（喷雾）</t>
  </si>
  <si>
    <t>电脑（PCR仪器及管理需要）</t>
  </si>
  <si>
    <t>各种规格移液器（90只）</t>
  </si>
  <si>
    <t>实验室辅助设备</t>
  </si>
  <si>
    <t>二</t>
  </si>
  <si>
    <t>实验室洁净、净化系统</t>
  </si>
  <si>
    <t>实验室电路、照明和UPS系统</t>
  </si>
  <si>
    <t>实验室给排水和污水处理系统</t>
  </si>
  <si>
    <t>实验室工作台及配件</t>
  </si>
  <si>
    <t>洁净独立实验平台</t>
  </si>
  <si>
    <t>实验室智能应用系统及IT机房</t>
  </si>
  <si>
    <t>电梯工程</t>
  </si>
  <si>
    <t>通风空调工程</t>
  </si>
  <si>
    <t>消防工程</t>
  </si>
  <si>
    <t>装饰装修工程</t>
  </si>
  <si>
    <t>三</t>
  </si>
  <si>
    <t>工程建设其它费用</t>
  </si>
  <si>
    <t>项目前期工作咨询费</t>
  </si>
  <si>
    <t>编制项目建议书</t>
  </si>
  <si>
    <t>估算投资额</t>
  </si>
  <si>
    <t>粤价[2000]8号、计价格〔1999〕1283号</t>
  </si>
  <si>
    <t>工程设计费</t>
  </si>
  <si>
    <t>基本设计费</t>
  </si>
  <si>
    <t>计价格[2002]10号
难度系数0.85</t>
  </si>
  <si>
    <t>施工图预算编制费</t>
  </si>
  <si>
    <t>发改价格[2011]534</t>
  </si>
  <si>
    <t>竣工图编制费</t>
  </si>
  <si>
    <t>施工图技术审查费</t>
  </si>
  <si>
    <t>全过程造价管理</t>
  </si>
  <si>
    <t>粤价函[2011]742号</t>
  </si>
  <si>
    <t>工程建设监理费</t>
  </si>
  <si>
    <t>发改价格[2007] 670号）
发改价格[2011]534号
下浮15%</t>
  </si>
  <si>
    <t>工程招标代理费</t>
  </si>
  <si>
    <t>设计施工总承包招标</t>
  </si>
  <si>
    <t>设备货物招标</t>
  </si>
  <si>
    <t>监理招标</t>
  </si>
  <si>
    <t>全过程造价管理招标</t>
  </si>
  <si>
    <t>全过程造价服务收费</t>
  </si>
  <si>
    <t>工程保险费</t>
  </si>
  <si>
    <t>建标[2007]164号</t>
  </si>
  <si>
    <t>检验监测费</t>
  </si>
  <si>
    <t>穗建造价[2019]38号</t>
  </si>
  <si>
    <t>环境影响咨询费</t>
  </si>
  <si>
    <t>计价格（2002）125号</t>
  </si>
  <si>
    <t>场地准备及建设单位</t>
  </si>
  <si>
    <t>临时设施费</t>
  </si>
  <si>
    <t>项目建设管理费</t>
  </si>
  <si>
    <t>财建[2016]504号</t>
  </si>
  <si>
    <t>小计</t>
  </si>
  <si>
    <t>四</t>
  </si>
  <si>
    <t>预备费</t>
  </si>
  <si>
    <t>基本预备费 ( [一]+[二]+)*3%</t>
  </si>
  <si>
    <r>
      <rPr>
        <sz val="12"/>
        <color rgb="FF000000"/>
        <rFont val="宋体"/>
        <charset val="134"/>
      </rPr>
      <t xml:space="preserve">总 </t>
    </r>
    <r>
      <rPr>
        <sz val="12"/>
        <color rgb="FF000000"/>
        <rFont val="宋体"/>
        <charset val="134"/>
      </rPr>
      <t xml:space="preserve">    </t>
    </r>
    <r>
      <rPr>
        <sz val="12"/>
        <color rgb="FF000000"/>
        <rFont val="宋体"/>
        <charset val="134"/>
      </rPr>
      <t>计</t>
    </r>
  </si>
  <si>
    <t>土建装饰工程</t>
  </si>
  <si>
    <t>设备安装工程</t>
  </si>
  <si>
    <t>工程建设费用</t>
  </si>
  <si>
    <t>仪器设备</t>
  </si>
  <si>
    <t>电梯</t>
  </si>
  <si>
    <t>装饰装修</t>
  </si>
  <si>
    <t>1~9小计</t>
  </si>
  <si>
    <t>工程勘察费</t>
  </si>
  <si>
    <t>计价格[2002]10号文</t>
  </si>
  <si>
    <t>粤建监协[2015]21号</t>
  </si>
  <si>
    <t>施工招标</t>
  </si>
  <si>
    <t>计价格（2002）1980号</t>
  </si>
  <si>
    <t>设计招标</t>
  </si>
  <si>
    <t>项目代建管理费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</si>
</sst>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32">
    <font>
      <sz val="11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9"/>
      <color rgb="FF000000"/>
      <name val="宋体"/>
      <charset val="134"/>
    </font>
    <font>
      <b/>
      <sz val="9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ajor"/>
    </font>
    <font>
      <sz val="11"/>
      <color theme="1"/>
      <name val="宋体"/>
      <charset val="134"/>
      <scheme val="major"/>
    </font>
    <font>
      <b/>
      <sz val="14"/>
      <color theme="1"/>
      <name val="宋体"/>
      <charset val="134"/>
      <scheme val="major"/>
    </font>
    <font>
      <b/>
      <sz val="11"/>
      <color rgb="FF00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BEBEB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8" fillId="25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7" borderId="15" applyNumberFormat="0" applyFont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16" borderId="14" applyNumberFormat="0" applyAlignment="0" applyProtection="0">
      <alignment vertical="center"/>
    </xf>
    <xf numFmtId="0" fontId="29" fillId="16" borderId="18" applyNumberFormat="0" applyAlignment="0" applyProtection="0">
      <alignment vertical="center"/>
    </xf>
    <xf numFmtId="0" fontId="14" fillId="7" borderId="12" applyNumberFormat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76" fontId="1" fillId="0" borderId="4" xfId="0" applyNumberFormat="1" applyFont="1" applyBorder="1" applyAlignment="1">
      <alignment horizontal="center" vertical="center" wrapText="1"/>
    </xf>
    <xf numFmtId="176" fontId="2" fillId="0" borderId="4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176" fontId="1" fillId="0" borderId="7" xfId="0" applyNumberFormat="1" applyFont="1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0" xfId="0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176" fontId="2" fillId="0" borderId="7" xfId="0" applyNumberFormat="1" applyFont="1" applyBorder="1" applyAlignment="1">
      <alignment horizontal="center" vertical="center" wrapText="1"/>
    </xf>
    <xf numFmtId="57" fontId="0" fillId="3" borderId="11" xfId="0" applyNumberFormat="1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 wrapText="1"/>
    </xf>
    <xf numFmtId="176" fontId="0" fillId="3" borderId="11" xfId="0" applyNumberForma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0" fillId="4" borderId="11" xfId="0" applyNumberFormat="1" applyFill="1" applyBorder="1" applyAlignment="1">
      <alignment horizontal="center" vertical="center"/>
    </xf>
    <xf numFmtId="0" fontId="0" fillId="3" borderId="11" xfId="0" applyFill="1" applyBorder="1" applyAlignment="1">
      <alignment vertical="center" wrapText="1"/>
    </xf>
    <xf numFmtId="176" fontId="0" fillId="3" borderId="11" xfId="0" applyNumberFormat="1" applyFill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 wrapText="1"/>
    </xf>
    <xf numFmtId="49" fontId="10" fillId="0" borderId="11" xfId="0" applyNumberFormat="1" applyFont="1" applyFill="1" applyBorder="1" applyAlignment="1" applyProtection="1">
      <alignment horizontal="center" vertical="center" wrapText="1"/>
    </xf>
    <xf numFmtId="0" fontId="10" fillId="0" borderId="11" xfId="0" applyNumberFormat="1" applyFont="1" applyFill="1" applyBorder="1" applyAlignment="1" applyProtection="1">
      <alignment horizontal="left" vertical="center" wrapText="1"/>
    </xf>
    <xf numFmtId="0" fontId="11" fillId="0" borderId="11" xfId="0" applyFont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left" vertical="center" wrapText="1"/>
    </xf>
    <xf numFmtId="0" fontId="12" fillId="0" borderId="1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E23"/>
  <sheetViews>
    <sheetView tabSelected="1" view="pageBreakPreview" zoomScaleNormal="100" zoomScaleSheetLayoutView="100" workbookViewId="0">
      <pane ySplit="2" topLeftCell="A6" activePane="bottomLeft" state="frozen"/>
      <selection/>
      <selection pane="bottomLeft" activeCell="E21" sqref="E21"/>
    </sheetView>
  </sheetViews>
  <sheetFormatPr defaultColWidth="9" defaultRowHeight="13.5" outlineLevelCol="4"/>
  <cols>
    <col min="1" max="1" width="7.5" style="30" customWidth="1"/>
    <col min="2" max="2" width="39.75" style="30" customWidth="1"/>
    <col min="3" max="3" width="7.375" style="30" customWidth="1"/>
    <col min="4" max="4" width="9.375" style="30" customWidth="1"/>
    <col min="5" max="5" width="16.125" style="30" customWidth="1"/>
    <col min="6" max="7" width="12.6333333333333" style="30"/>
    <col min="8" max="16384" width="9" style="30"/>
  </cols>
  <sheetData>
    <row r="1" ht="37" customHeight="1" spans="1:5">
      <c r="A1" s="31" t="s">
        <v>0</v>
      </c>
      <c r="B1" s="32"/>
      <c r="C1" s="32"/>
      <c r="D1" s="32"/>
      <c r="E1" s="32"/>
    </row>
    <row r="2" ht="26" customHeight="1" spans="1:5">
      <c r="A2" s="33" t="s">
        <v>1</v>
      </c>
      <c r="B2" s="33" t="s">
        <v>2</v>
      </c>
      <c r="C2" s="33" t="s">
        <v>3</v>
      </c>
      <c r="D2" s="33" t="s">
        <v>4</v>
      </c>
      <c r="E2" s="33" t="s">
        <v>5</v>
      </c>
    </row>
    <row r="3" ht="46" customHeight="1" outlineLevel="1" spans="1:5">
      <c r="A3" s="34" t="s">
        <v>6</v>
      </c>
      <c r="B3" s="35" t="s">
        <v>7</v>
      </c>
      <c r="C3" s="36" t="s">
        <v>8</v>
      </c>
      <c r="D3" s="36">
        <v>45</v>
      </c>
      <c r="E3" s="36" t="s">
        <v>9</v>
      </c>
    </row>
    <row r="4" ht="33" customHeight="1" outlineLevel="1" spans="1:5">
      <c r="A4" s="34" t="s">
        <v>10</v>
      </c>
      <c r="B4" s="35" t="s">
        <v>11</v>
      </c>
      <c r="C4" s="36" t="s">
        <v>12</v>
      </c>
      <c r="D4" s="36">
        <v>1</v>
      </c>
      <c r="E4" s="36"/>
    </row>
    <row r="5" ht="32" customHeight="1" outlineLevel="1" spans="1:5">
      <c r="A5" s="34" t="s">
        <v>13</v>
      </c>
      <c r="B5" s="35" t="s">
        <v>14</v>
      </c>
      <c r="C5" s="36" t="s">
        <v>8</v>
      </c>
      <c r="D5" s="36">
        <v>45</v>
      </c>
      <c r="E5" s="36"/>
    </row>
    <row r="6" ht="29" customHeight="1" outlineLevel="1" spans="1:5">
      <c r="A6" s="34" t="s">
        <v>15</v>
      </c>
      <c r="B6" s="35" t="s">
        <v>16</v>
      </c>
      <c r="C6" s="36" t="s">
        <v>8</v>
      </c>
      <c r="D6" s="36">
        <v>50</v>
      </c>
      <c r="E6" s="36"/>
    </row>
    <row r="7" ht="35" customHeight="1" outlineLevel="1" spans="1:5">
      <c r="A7" s="34" t="s">
        <v>17</v>
      </c>
      <c r="B7" s="35" t="s">
        <v>18</v>
      </c>
      <c r="C7" s="36" t="s">
        <v>8</v>
      </c>
      <c r="D7" s="36">
        <v>50</v>
      </c>
      <c r="E7" s="36"/>
    </row>
    <row r="8" ht="33" customHeight="1" outlineLevel="1" spans="1:5">
      <c r="A8" s="34" t="s">
        <v>19</v>
      </c>
      <c r="B8" s="35" t="s">
        <v>20</v>
      </c>
      <c r="C8" s="36" t="s">
        <v>21</v>
      </c>
      <c r="D8" s="36">
        <v>8</v>
      </c>
      <c r="E8" s="36"/>
    </row>
    <row r="9" ht="33" customHeight="1" outlineLevel="1" spans="1:5">
      <c r="A9" s="34" t="s">
        <v>22</v>
      </c>
      <c r="B9" s="35" t="s">
        <v>23</v>
      </c>
      <c r="C9" s="36" t="s">
        <v>12</v>
      </c>
      <c r="D9" s="36">
        <v>1</v>
      </c>
      <c r="E9" s="36"/>
    </row>
    <row r="10" ht="33" customHeight="1" outlineLevel="1" spans="1:5">
      <c r="A10" s="34" t="s">
        <v>24</v>
      </c>
      <c r="B10" s="37" t="s">
        <v>25</v>
      </c>
      <c r="C10" s="36" t="s">
        <v>26</v>
      </c>
      <c r="D10" s="36">
        <v>6</v>
      </c>
      <c r="E10" s="36"/>
    </row>
    <row r="11" ht="46" customHeight="1" outlineLevel="1" spans="1:5">
      <c r="A11" s="34" t="s">
        <v>27</v>
      </c>
      <c r="B11" s="37" t="s">
        <v>28</v>
      </c>
      <c r="C11" s="36" t="s">
        <v>8</v>
      </c>
      <c r="D11" s="36">
        <v>90</v>
      </c>
      <c r="E11" s="36"/>
    </row>
    <row r="12" ht="36" customHeight="1" outlineLevel="1" spans="1:5">
      <c r="A12" s="34" t="s">
        <v>29</v>
      </c>
      <c r="B12" s="37" t="s">
        <v>30</v>
      </c>
      <c r="C12" s="36" t="s">
        <v>31</v>
      </c>
      <c r="D12" s="36">
        <v>1</v>
      </c>
      <c r="E12" s="36"/>
    </row>
    <row r="13" ht="25" customHeight="1" outlineLevel="1" spans="1:5">
      <c r="A13" s="34" t="s">
        <v>32</v>
      </c>
      <c r="B13" s="37" t="s">
        <v>33</v>
      </c>
      <c r="C13" s="38" t="s">
        <v>34</v>
      </c>
      <c r="D13" s="38">
        <v>50</v>
      </c>
      <c r="E13" s="36"/>
    </row>
    <row r="14" ht="26" customHeight="1" outlineLevel="1" spans="1:5">
      <c r="A14" s="34" t="s">
        <v>35</v>
      </c>
      <c r="B14" s="37" t="s">
        <v>36</v>
      </c>
      <c r="C14" s="38" t="s">
        <v>34</v>
      </c>
      <c r="D14" s="38">
        <v>50</v>
      </c>
      <c r="E14" s="36"/>
    </row>
    <row r="15" ht="21" customHeight="1" outlineLevel="1" spans="1:5">
      <c r="A15" s="34" t="s">
        <v>37</v>
      </c>
      <c r="B15" s="37" t="s">
        <v>38</v>
      </c>
      <c r="C15" s="36" t="s">
        <v>31</v>
      </c>
      <c r="D15" s="36">
        <v>10</v>
      </c>
      <c r="E15" s="36"/>
    </row>
    <row r="16" ht="24" customHeight="1" outlineLevel="1" spans="1:5">
      <c r="A16" s="34" t="s">
        <v>39</v>
      </c>
      <c r="B16" s="37" t="s">
        <v>40</v>
      </c>
      <c r="C16" s="36" t="s">
        <v>41</v>
      </c>
      <c r="D16" s="36">
        <v>3</v>
      </c>
      <c r="E16" s="36"/>
    </row>
    <row r="17" ht="24" customHeight="1" outlineLevel="1" spans="1:5">
      <c r="A17" s="34" t="s">
        <v>42</v>
      </c>
      <c r="B17" s="37" t="s">
        <v>43</v>
      </c>
      <c r="C17" s="36" t="s">
        <v>41</v>
      </c>
      <c r="D17" s="36">
        <v>4</v>
      </c>
      <c r="E17" s="36"/>
    </row>
    <row r="18" s="29" customFormat="1" ht="27" customHeight="1" outlineLevel="1" spans="1:5">
      <c r="A18" s="34" t="s">
        <v>44</v>
      </c>
      <c r="B18" s="37" t="s">
        <v>45</v>
      </c>
      <c r="C18" s="38" t="s">
        <v>34</v>
      </c>
      <c r="D18" s="38">
        <v>600</v>
      </c>
      <c r="E18" s="38"/>
    </row>
    <row r="19" s="29" customFormat="1" ht="29" customHeight="1" outlineLevel="1" spans="1:5">
      <c r="A19" s="34" t="s">
        <v>46</v>
      </c>
      <c r="B19" s="37" t="s">
        <v>47</v>
      </c>
      <c r="C19" s="38" t="s">
        <v>34</v>
      </c>
      <c r="D19" s="38">
        <v>600</v>
      </c>
      <c r="E19" s="38"/>
    </row>
    <row r="20" ht="26" customHeight="1" outlineLevel="1" spans="1:5">
      <c r="A20" s="34" t="s">
        <v>48</v>
      </c>
      <c r="B20" s="37" t="s">
        <v>49</v>
      </c>
      <c r="C20" s="36" t="s">
        <v>31</v>
      </c>
      <c r="D20" s="36">
        <v>7</v>
      </c>
      <c r="E20" s="36"/>
    </row>
    <row r="21" ht="26" customHeight="1" outlineLevel="1" spans="1:5">
      <c r="A21" s="34" t="s">
        <v>50</v>
      </c>
      <c r="B21" s="37" t="s">
        <v>51</v>
      </c>
      <c r="C21" s="36" t="s">
        <v>31</v>
      </c>
      <c r="D21" s="36">
        <v>1</v>
      </c>
      <c r="E21" s="36" t="s">
        <v>52</v>
      </c>
    </row>
    <row r="22" ht="27" customHeight="1" outlineLevel="1" spans="1:5">
      <c r="A22" s="34" t="s">
        <v>53</v>
      </c>
      <c r="B22" s="37" t="s">
        <v>54</v>
      </c>
      <c r="C22" s="36" t="s">
        <v>12</v>
      </c>
      <c r="D22" s="36">
        <v>1</v>
      </c>
      <c r="E22" s="36"/>
    </row>
    <row r="23" ht="27" customHeight="1" outlineLevel="1" spans="1:5">
      <c r="A23" s="34" t="s">
        <v>55</v>
      </c>
      <c r="B23" s="37" t="s">
        <v>56</v>
      </c>
      <c r="C23" s="36" t="s">
        <v>12</v>
      </c>
      <c r="D23" s="36">
        <v>1</v>
      </c>
      <c r="E23" s="36"/>
    </row>
  </sheetData>
  <mergeCells count="1">
    <mergeCell ref="A1:E1"/>
  </mergeCells>
  <printOptions horizontalCentered="1"/>
  <pageMargins left="0.357638888888889" right="0.357638888888889" top="0.2125" bottom="1" header="0.5" footer="0.5"/>
  <pageSetup paperSize="9" scale="91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59"/>
  <sheetViews>
    <sheetView zoomScale="85" zoomScaleNormal="85" workbookViewId="0">
      <pane ySplit="2" topLeftCell="A49" activePane="bottomLeft" state="frozen"/>
      <selection/>
      <selection pane="bottomLeft" activeCell="K40" sqref="K40"/>
    </sheetView>
  </sheetViews>
  <sheetFormatPr defaultColWidth="9" defaultRowHeight="13.5"/>
  <cols>
    <col min="2" max="2" width="15" customWidth="1"/>
    <col min="5" max="6" width="9" customWidth="1"/>
    <col min="7" max="7" width="10.4416666666667" customWidth="1"/>
    <col min="8" max="8" width="14.1333333333333" customWidth="1"/>
    <col min="10" max="10" width="12.6333333333333"/>
    <col min="11" max="11" width="12.8916666666667" customWidth="1"/>
    <col min="13" max="16" width="10.5583333333333" style="19" customWidth="1"/>
    <col min="17" max="17" width="10.5583333333333" customWidth="1"/>
    <col min="18" max="20" width="10.8416666666667" customWidth="1"/>
  </cols>
  <sheetData>
    <row r="1" ht="30" customHeight="1" spans="1:20">
      <c r="A1" s="1" t="s">
        <v>1</v>
      </c>
      <c r="B1" s="2" t="s">
        <v>57</v>
      </c>
      <c r="C1" s="2" t="s">
        <v>3</v>
      </c>
      <c r="D1" s="3" t="s">
        <v>58</v>
      </c>
      <c r="E1" s="2" t="s">
        <v>59</v>
      </c>
      <c r="F1" s="2"/>
      <c r="G1" s="2"/>
      <c r="H1" s="2"/>
      <c r="I1" s="3" t="s">
        <v>60</v>
      </c>
      <c r="J1" s="15" t="s">
        <v>61</v>
      </c>
      <c r="K1" s="2" t="s">
        <v>5</v>
      </c>
      <c r="M1" s="22">
        <v>44621</v>
      </c>
      <c r="N1" s="22">
        <v>44652</v>
      </c>
      <c r="O1" s="22">
        <v>44682</v>
      </c>
      <c r="P1" s="22">
        <v>44713</v>
      </c>
      <c r="Q1" s="22">
        <v>44743</v>
      </c>
      <c r="R1" s="22">
        <v>44774</v>
      </c>
      <c r="S1" s="22">
        <v>44805</v>
      </c>
      <c r="T1" s="22">
        <v>44835</v>
      </c>
    </row>
    <row r="2" ht="41.25" spans="1:20">
      <c r="A2" s="1"/>
      <c r="B2" s="2"/>
      <c r="C2" s="2"/>
      <c r="D2" s="4" t="s">
        <v>62</v>
      </c>
      <c r="E2" s="4" t="s">
        <v>63</v>
      </c>
      <c r="F2" s="4" t="s">
        <v>64</v>
      </c>
      <c r="G2" s="4" t="s">
        <v>65</v>
      </c>
      <c r="H2" s="4" t="s">
        <v>66</v>
      </c>
      <c r="I2" s="16" t="s">
        <v>67</v>
      </c>
      <c r="J2" s="15"/>
      <c r="K2" s="2"/>
      <c r="M2" s="23" t="s">
        <v>68</v>
      </c>
      <c r="N2" s="23"/>
      <c r="O2" s="23"/>
      <c r="P2" s="23" t="s">
        <v>69</v>
      </c>
      <c r="Q2" s="27"/>
      <c r="R2" s="23" t="s">
        <v>70</v>
      </c>
      <c r="S2" s="27"/>
      <c r="T2" s="27" t="s">
        <v>71</v>
      </c>
    </row>
    <row r="3" ht="15" spans="1:20">
      <c r="A3" s="5" t="s">
        <v>72</v>
      </c>
      <c r="B3" s="6" t="s">
        <v>64</v>
      </c>
      <c r="C3" s="7"/>
      <c r="D3" s="7"/>
      <c r="E3" s="7"/>
      <c r="F3" s="7"/>
      <c r="G3" s="7"/>
      <c r="H3" s="6">
        <f>SUM(H4:H17)</f>
        <v>1098</v>
      </c>
      <c r="I3" s="7"/>
      <c r="J3" s="12">
        <f ca="1" t="shared" ref="J3:J17" si="0">H3/$H$59*100</f>
        <v>52.0600200747507</v>
      </c>
      <c r="K3" s="7"/>
      <c r="M3" s="24"/>
      <c r="N3" s="24"/>
      <c r="O3" s="24"/>
      <c r="P3" s="24"/>
      <c r="Q3" s="28"/>
      <c r="R3" s="28"/>
      <c r="S3" s="28">
        <f>H3</f>
        <v>1098</v>
      </c>
      <c r="T3" s="28"/>
    </row>
    <row r="4" ht="15" hidden="1" spans="1:20">
      <c r="A4" s="8">
        <v>1</v>
      </c>
      <c r="B4" s="9" t="s">
        <v>73</v>
      </c>
      <c r="C4" s="7" t="s">
        <v>74</v>
      </c>
      <c r="D4" s="7">
        <v>8</v>
      </c>
      <c r="E4" s="7"/>
      <c r="F4" s="7">
        <v>164</v>
      </c>
      <c r="G4" s="7"/>
      <c r="H4" s="7">
        <f t="shared" ref="H4:H17" si="1">E4+F4+G4</f>
        <v>164</v>
      </c>
      <c r="I4" s="7">
        <f t="shared" ref="I4:I17" si="2">H4/D4*10000</f>
        <v>205000</v>
      </c>
      <c r="J4" s="12">
        <f ca="1" t="shared" si="0"/>
        <v>7.77581356307751</v>
      </c>
      <c r="K4" s="7"/>
      <c r="M4" s="24"/>
      <c r="N4" s="24"/>
      <c r="O4" s="24"/>
      <c r="P4" s="24"/>
      <c r="Q4" s="28"/>
      <c r="R4" s="28"/>
      <c r="S4" s="28"/>
      <c r="T4" s="28"/>
    </row>
    <row r="5" ht="15" hidden="1" spans="1:20">
      <c r="A5" s="8">
        <v>2</v>
      </c>
      <c r="B5" s="9" t="s">
        <v>75</v>
      </c>
      <c r="C5" s="7" t="s">
        <v>74</v>
      </c>
      <c r="D5" s="7">
        <v>2</v>
      </c>
      <c r="E5" s="7"/>
      <c r="F5" s="7">
        <v>30</v>
      </c>
      <c r="G5" s="7"/>
      <c r="H5" s="7">
        <f t="shared" si="1"/>
        <v>30</v>
      </c>
      <c r="I5" s="7">
        <f t="shared" si="2"/>
        <v>150000</v>
      </c>
      <c r="J5" s="12">
        <f ca="1" t="shared" si="0"/>
        <v>1.42240492007515</v>
      </c>
      <c r="K5" s="7"/>
      <c r="M5" s="24"/>
      <c r="N5" s="24"/>
      <c r="O5" s="24"/>
      <c r="P5" s="24"/>
      <c r="Q5" s="28"/>
      <c r="R5" s="28"/>
      <c r="S5" s="28"/>
      <c r="T5" s="28"/>
    </row>
    <row r="6" ht="15" hidden="1" spans="1:20">
      <c r="A6" s="8">
        <v>3</v>
      </c>
      <c r="B6" s="9" t="s">
        <v>76</v>
      </c>
      <c r="C6" s="7" t="s">
        <v>41</v>
      </c>
      <c r="D6" s="7">
        <v>1</v>
      </c>
      <c r="E6" s="7"/>
      <c r="F6" s="7">
        <v>18</v>
      </c>
      <c r="G6" s="7"/>
      <c r="H6" s="7">
        <f t="shared" si="1"/>
        <v>18</v>
      </c>
      <c r="I6" s="7">
        <f t="shared" si="2"/>
        <v>180000</v>
      </c>
      <c r="J6" s="12">
        <f ca="1" t="shared" si="0"/>
        <v>0.853442952045093</v>
      </c>
      <c r="K6" s="7"/>
      <c r="M6" s="24"/>
      <c r="N6" s="24"/>
      <c r="O6" s="24"/>
      <c r="P6" s="24"/>
      <c r="Q6" s="28"/>
      <c r="R6" s="28"/>
      <c r="S6" s="28"/>
      <c r="T6" s="28"/>
    </row>
    <row r="7" ht="15" hidden="1" spans="1:20">
      <c r="A7" s="8">
        <v>4</v>
      </c>
      <c r="B7" s="9" t="s">
        <v>77</v>
      </c>
      <c r="C7" s="7" t="s">
        <v>41</v>
      </c>
      <c r="D7" s="7">
        <v>10</v>
      </c>
      <c r="E7" s="7"/>
      <c r="F7" s="7">
        <v>300</v>
      </c>
      <c r="G7" s="7"/>
      <c r="H7" s="7">
        <f t="shared" si="1"/>
        <v>300</v>
      </c>
      <c r="I7" s="7">
        <f t="shared" si="2"/>
        <v>300000</v>
      </c>
      <c r="J7" s="12">
        <f ca="1" t="shared" si="0"/>
        <v>14.2240492007515</v>
      </c>
      <c r="K7" s="7"/>
      <c r="M7" s="24"/>
      <c r="N7" s="24"/>
      <c r="O7" s="24"/>
      <c r="P7" s="24"/>
      <c r="Q7" s="28"/>
      <c r="R7" s="28"/>
      <c r="S7" s="28"/>
      <c r="T7" s="28"/>
    </row>
    <row r="8" ht="15" hidden="1" spans="1:20">
      <c r="A8" s="8">
        <v>5</v>
      </c>
      <c r="B8" s="9" t="s">
        <v>78</v>
      </c>
      <c r="C8" s="7" t="s">
        <v>74</v>
      </c>
      <c r="D8" s="7">
        <v>20</v>
      </c>
      <c r="E8" s="7"/>
      <c r="F8" s="7">
        <v>330</v>
      </c>
      <c r="G8" s="7"/>
      <c r="H8" s="7">
        <f t="shared" si="1"/>
        <v>330</v>
      </c>
      <c r="I8" s="7">
        <f t="shared" si="2"/>
        <v>165000</v>
      </c>
      <c r="J8" s="12">
        <f ca="1" t="shared" si="0"/>
        <v>15.6464541208267</v>
      </c>
      <c r="K8" s="7"/>
      <c r="M8" s="24"/>
      <c r="N8" s="24"/>
      <c r="O8" s="24"/>
      <c r="P8" s="24"/>
      <c r="Q8" s="28"/>
      <c r="R8" s="28"/>
      <c r="S8" s="28"/>
      <c r="T8" s="28"/>
    </row>
    <row r="9" ht="15" hidden="1" spans="1:20">
      <c r="A9" s="8">
        <v>6</v>
      </c>
      <c r="B9" s="9" t="s">
        <v>79</v>
      </c>
      <c r="C9" s="7" t="s">
        <v>41</v>
      </c>
      <c r="D9" s="7">
        <v>4</v>
      </c>
      <c r="E9" s="7"/>
      <c r="F9" s="7">
        <v>23.6</v>
      </c>
      <c r="G9" s="7"/>
      <c r="H9" s="7">
        <f t="shared" si="1"/>
        <v>23.6</v>
      </c>
      <c r="I9" s="7">
        <f t="shared" si="2"/>
        <v>59000</v>
      </c>
      <c r="J9" s="12">
        <f ca="1" t="shared" si="0"/>
        <v>1.11895853712579</v>
      </c>
      <c r="K9" s="7"/>
      <c r="M9" s="24"/>
      <c r="N9" s="24"/>
      <c r="O9" s="24"/>
      <c r="P9" s="24"/>
      <c r="Q9" s="28"/>
      <c r="R9" s="28"/>
      <c r="S9" s="28"/>
      <c r="T9" s="28"/>
    </row>
    <row r="10" ht="15" hidden="1" spans="1:20">
      <c r="A10" s="8">
        <v>7</v>
      </c>
      <c r="B10" s="9" t="s">
        <v>80</v>
      </c>
      <c r="C10" s="7" t="s">
        <v>41</v>
      </c>
      <c r="D10" s="7">
        <v>12</v>
      </c>
      <c r="E10" s="7"/>
      <c r="F10" s="7">
        <v>93.6</v>
      </c>
      <c r="G10" s="7"/>
      <c r="H10" s="7">
        <f t="shared" si="1"/>
        <v>93.6</v>
      </c>
      <c r="I10" s="7">
        <f t="shared" si="2"/>
        <v>78000</v>
      </c>
      <c r="J10" s="12">
        <f ca="1" t="shared" si="0"/>
        <v>4.43790335063448</v>
      </c>
      <c r="K10" s="7"/>
      <c r="M10" s="24"/>
      <c r="N10" s="24"/>
      <c r="O10" s="24"/>
      <c r="P10" s="24"/>
      <c r="Q10" s="28"/>
      <c r="R10" s="28"/>
      <c r="S10" s="28"/>
      <c r="T10" s="28"/>
    </row>
    <row r="11" ht="15" hidden="1" spans="1:20">
      <c r="A11" s="8">
        <v>8</v>
      </c>
      <c r="B11" s="9" t="s">
        <v>81</v>
      </c>
      <c r="C11" s="7" t="s">
        <v>74</v>
      </c>
      <c r="D11" s="7">
        <v>2</v>
      </c>
      <c r="E11" s="7"/>
      <c r="F11" s="7">
        <v>26</v>
      </c>
      <c r="G11" s="7"/>
      <c r="H11" s="7">
        <f t="shared" si="1"/>
        <v>26</v>
      </c>
      <c r="I11" s="7">
        <f t="shared" si="2"/>
        <v>130000</v>
      </c>
      <c r="J11" s="12">
        <f ca="1" t="shared" si="0"/>
        <v>1.2327509307318</v>
      </c>
      <c r="K11" s="7"/>
      <c r="M11" s="24"/>
      <c r="N11" s="24"/>
      <c r="O11" s="24"/>
      <c r="P11" s="24"/>
      <c r="Q11" s="28"/>
      <c r="R11" s="28"/>
      <c r="S11" s="28"/>
      <c r="T11" s="28"/>
    </row>
    <row r="12" ht="23.25" hidden="1" spans="1:20">
      <c r="A12" s="8">
        <v>9</v>
      </c>
      <c r="B12" s="9" t="s">
        <v>82</v>
      </c>
      <c r="C12" s="7" t="s">
        <v>74</v>
      </c>
      <c r="D12" s="7">
        <v>6</v>
      </c>
      <c r="E12" s="7"/>
      <c r="F12" s="7">
        <v>10.8</v>
      </c>
      <c r="G12" s="7"/>
      <c r="H12" s="7">
        <f t="shared" si="1"/>
        <v>10.8</v>
      </c>
      <c r="I12" s="7">
        <f t="shared" si="2"/>
        <v>18000</v>
      </c>
      <c r="J12" s="12">
        <f ca="1" t="shared" si="0"/>
        <v>0.512065771227056</v>
      </c>
      <c r="K12" s="7"/>
      <c r="M12" s="24"/>
      <c r="N12" s="24"/>
      <c r="O12" s="24"/>
      <c r="P12" s="24"/>
      <c r="Q12" s="28"/>
      <c r="R12" s="28"/>
      <c r="S12" s="28"/>
      <c r="T12" s="28"/>
    </row>
    <row r="13" ht="23.25" hidden="1" spans="1:20">
      <c r="A13" s="8">
        <v>10</v>
      </c>
      <c r="B13" s="9" t="s">
        <v>83</v>
      </c>
      <c r="C13" s="7" t="s">
        <v>74</v>
      </c>
      <c r="D13" s="7">
        <v>4</v>
      </c>
      <c r="E13" s="7"/>
      <c r="F13" s="7">
        <v>34</v>
      </c>
      <c r="G13" s="7"/>
      <c r="H13" s="7">
        <f t="shared" si="1"/>
        <v>34</v>
      </c>
      <c r="I13" s="7">
        <f t="shared" si="2"/>
        <v>85000</v>
      </c>
      <c r="J13" s="12">
        <f ca="1" t="shared" si="0"/>
        <v>1.61205890941851</v>
      </c>
      <c r="K13" s="7"/>
      <c r="M13" s="24"/>
      <c r="N13" s="24"/>
      <c r="O13" s="24"/>
      <c r="P13" s="24"/>
      <c r="Q13" s="28"/>
      <c r="R13" s="28"/>
      <c r="S13" s="28"/>
      <c r="T13" s="28"/>
    </row>
    <row r="14" ht="23.25" hidden="1" spans="1:20">
      <c r="A14" s="8">
        <v>11</v>
      </c>
      <c r="B14" s="9" t="s">
        <v>84</v>
      </c>
      <c r="C14" s="7" t="s">
        <v>74</v>
      </c>
      <c r="D14" s="7">
        <v>1</v>
      </c>
      <c r="E14" s="7"/>
      <c r="F14" s="7">
        <v>8</v>
      </c>
      <c r="G14" s="7"/>
      <c r="H14" s="7">
        <f t="shared" si="1"/>
        <v>8</v>
      </c>
      <c r="I14" s="7">
        <f t="shared" si="2"/>
        <v>80000</v>
      </c>
      <c r="J14" s="12">
        <f ca="1" t="shared" si="0"/>
        <v>0.379307978686708</v>
      </c>
      <c r="K14" s="7"/>
      <c r="M14" s="24"/>
      <c r="N14" s="24"/>
      <c r="O14" s="24"/>
      <c r="P14" s="24"/>
      <c r="Q14" s="28"/>
      <c r="R14" s="28"/>
      <c r="S14" s="28"/>
      <c r="T14" s="28"/>
    </row>
    <row r="15" ht="23.25" hidden="1" spans="1:20">
      <c r="A15" s="8">
        <v>12</v>
      </c>
      <c r="B15" s="9" t="s">
        <v>85</v>
      </c>
      <c r="C15" s="7" t="s">
        <v>74</v>
      </c>
      <c r="D15" s="7">
        <v>24</v>
      </c>
      <c r="E15" s="7"/>
      <c r="F15" s="7">
        <v>15.6</v>
      </c>
      <c r="G15" s="7"/>
      <c r="H15" s="7">
        <f t="shared" si="1"/>
        <v>15.6</v>
      </c>
      <c r="I15" s="7">
        <f t="shared" si="2"/>
        <v>6500</v>
      </c>
      <c r="J15" s="12">
        <f ca="1" t="shared" si="0"/>
        <v>0.73965055843908</v>
      </c>
      <c r="K15" s="7"/>
      <c r="M15" s="24"/>
      <c r="N15" s="24"/>
      <c r="O15" s="24"/>
      <c r="P15" s="24"/>
      <c r="Q15" s="28"/>
      <c r="R15" s="28"/>
      <c r="S15" s="28"/>
      <c r="T15" s="28"/>
    </row>
    <row r="16" ht="23.25" hidden="1" spans="1:20">
      <c r="A16" s="8">
        <v>13</v>
      </c>
      <c r="B16" s="9" t="s">
        <v>86</v>
      </c>
      <c r="C16" s="7" t="s">
        <v>41</v>
      </c>
      <c r="D16" s="7">
        <v>1</v>
      </c>
      <c r="E16" s="7"/>
      <c r="F16" s="7">
        <v>29</v>
      </c>
      <c r="G16" s="7"/>
      <c r="H16" s="7">
        <f t="shared" si="1"/>
        <v>29</v>
      </c>
      <c r="I16" s="7">
        <f t="shared" si="2"/>
        <v>290000</v>
      </c>
      <c r="J16" s="12">
        <f ca="1" t="shared" si="0"/>
        <v>1.37499142273932</v>
      </c>
      <c r="K16" s="7"/>
      <c r="M16" s="24"/>
      <c r="N16" s="24"/>
      <c r="O16" s="24"/>
      <c r="P16" s="24"/>
      <c r="Q16" s="28"/>
      <c r="R16" s="28"/>
      <c r="S16" s="28"/>
      <c r="T16" s="28"/>
    </row>
    <row r="17" ht="15" hidden="1" spans="1:20">
      <c r="A17" s="8">
        <v>14</v>
      </c>
      <c r="B17" s="9" t="s">
        <v>87</v>
      </c>
      <c r="C17" s="7" t="s">
        <v>41</v>
      </c>
      <c r="D17" s="7">
        <v>1</v>
      </c>
      <c r="E17" s="7"/>
      <c r="F17" s="7">
        <v>15.4</v>
      </c>
      <c r="G17" s="7"/>
      <c r="H17" s="7">
        <f t="shared" si="1"/>
        <v>15.4</v>
      </c>
      <c r="I17" s="7">
        <f t="shared" si="2"/>
        <v>154000</v>
      </c>
      <c r="J17" s="12">
        <f ca="1" t="shared" si="0"/>
        <v>0.730167858971913</v>
      </c>
      <c r="K17" s="7"/>
      <c r="M17" s="24"/>
      <c r="N17" s="24"/>
      <c r="O17" s="24"/>
      <c r="P17" s="24"/>
      <c r="Q17" s="28"/>
      <c r="R17" s="28"/>
      <c r="S17" s="28"/>
      <c r="T17" s="28"/>
    </row>
    <row r="18" ht="15" hidden="1" spans="1:20">
      <c r="A18" s="8"/>
      <c r="B18" s="9"/>
      <c r="C18" s="7"/>
      <c r="D18" s="7"/>
      <c r="E18" s="7"/>
      <c r="F18" s="7"/>
      <c r="G18" s="7"/>
      <c r="H18" s="7"/>
      <c r="I18" s="7"/>
      <c r="J18" s="12"/>
      <c r="K18" s="7"/>
      <c r="M18" s="24"/>
      <c r="N18" s="24"/>
      <c r="O18" s="24"/>
      <c r="P18" s="24"/>
      <c r="Q18" s="28"/>
      <c r="R18" s="28"/>
      <c r="S18" s="28"/>
      <c r="T18" s="28"/>
    </row>
    <row r="19" ht="15" spans="1:20">
      <c r="A19" s="8" t="s">
        <v>88</v>
      </c>
      <c r="B19" s="6" t="s">
        <v>63</v>
      </c>
      <c r="C19" s="7"/>
      <c r="D19" s="7"/>
      <c r="E19" s="7"/>
      <c r="F19" s="7"/>
      <c r="G19" s="7"/>
      <c r="H19" s="6">
        <f>SUM(H20:H29)</f>
        <v>785</v>
      </c>
      <c r="I19" s="7"/>
      <c r="J19" s="12">
        <f ca="1" t="shared" ref="J19:J29" si="3">H19/$H$59*100</f>
        <v>37.2195954086332</v>
      </c>
      <c r="K19" s="7"/>
      <c r="M19" s="24"/>
      <c r="N19" s="24"/>
      <c r="O19" s="24"/>
      <c r="P19" s="24"/>
      <c r="Q19" s="28"/>
      <c r="R19" s="28">
        <f>H19</f>
        <v>785</v>
      </c>
      <c r="S19" s="28"/>
      <c r="T19" s="28"/>
    </row>
    <row r="20" ht="23.25" hidden="1" spans="1:20">
      <c r="A20" s="8">
        <v>1</v>
      </c>
      <c r="B20" s="9" t="s">
        <v>89</v>
      </c>
      <c r="C20" s="7" t="s">
        <v>8</v>
      </c>
      <c r="D20" s="7">
        <v>1000</v>
      </c>
      <c r="E20" s="7">
        <v>150</v>
      </c>
      <c r="F20" s="7"/>
      <c r="G20" s="7"/>
      <c r="H20" s="7">
        <f t="shared" ref="H20:H28" si="4">E20+F20+G20</f>
        <v>150</v>
      </c>
      <c r="I20" s="7">
        <f t="shared" ref="I20:I29" si="5">H20/D20*10000</f>
        <v>1500</v>
      </c>
      <c r="J20" s="12">
        <f ca="1" t="shared" si="3"/>
        <v>7.11202460037577</v>
      </c>
      <c r="K20" s="7"/>
      <c r="M20" s="24"/>
      <c r="N20" s="24"/>
      <c r="O20" s="24"/>
      <c r="P20" s="24"/>
      <c r="Q20" s="28"/>
      <c r="R20" s="28"/>
      <c r="S20" s="28"/>
      <c r="T20" s="28"/>
    </row>
    <row r="21" ht="23.25" hidden="1" spans="1:20">
      <c r="A21" s="8">
        <v>2</v>
      </c>
      <c r="B21" s="9" t="s">
        <v>90</v>
      </c>
      <c r="C21" s="7" t="s">
        <v>8</v>
      </c>
      <c r="D21" s="7">
        <v>1000</v>
      </c>
      <c r="E21" s="7">
        <v>60</v>
      </c>
      <c r="F21" s="7"/>
      <c r="G21" s="7"/>
      <c r="H21" s="7">
        <f t="shared" si="4"/>
        <v>60</v>
      </c>
      <c r="I21" s="7">
        <f t="shared" si="5"/>
        <v>600</v>
      </c>
      <c r="J21" s="12">
        <f ca="1" t="shared" si="3"/>
        <v>2.84480984015031</v>
      </c>
      <c r="K21" s="7"/>
      <c r="M21" s="24"/>
      <c r="N21" s="24"/>
      <c r="O21" s="24"/>
      <c r="P21" s="24"/>
      <c r="Q21" s="28"/>
      <c r="R21" s="28"/>
      <c r="S21" s="28"/>
      <c r="T21" s="28"/>
    </row>
    <row r="22" ht="23.25" hidden="1" spans="1:20">
      <c r="A22" s="8">
        <v>3</v>
      </c>
      <c r="B22" s="9" t="s">
        <v>91</v>
      </c>
      <c r="C22" s="7" t="s">
        <v>8</v>
      </c>
      <c r="D22" s="7">
        <v>1000</v>
      </c>
      <c r="E22" s="7">
        <v>35</v>
      </c>
      <c r="F22" s="7"/>
      <c r="G22" s="7"/>
      <c r="H22" s="7">
        <f t="shared" si="4"/>
        <v>35</v>
      </c>
      <c r="I22" s="7">
        <f t="shared" si="5"/>
        <v>350</v>
      </c>
      <c r="J22" s="12">
        <f ca="1" t="shared" si="3"/>
        <v>1.65947240675435</v>
      </c>
      <c r="K22" s="7"/>
      <c r="M22" s="24"/>
      <c r="N22" s="24"/>
      <c r="O22" s="24"/>
      <c r="P22" s="24"/>
      <c r="Q22" s="28"/>
      <c r="R22" s="28"/>
      <c r="S22" s="28"/>
      <c r="T22" s="28"/>
    </row>
    <row r="23" ht="15" hidden="1" spans="1:20">
      <c r="A23" s="8">
        <v>4</v>
      </c>
      <c r="B23" s="9" t="s">
        <v>92</v>
      </c>
      <c r="C23" s="7" t="s">
        <v>8</v>
      </c>
      <c r="D23" s="7">
        <v>1000</v>
      </c>
      <c r="E23" s="7">
        <v>85</v>
      </c>
      <c r="F23" s="7"/>
      <c r="G23" s="7"/>
      <c r="H23" s="7">
        <f t="shared" si="4"/>
        <v>85</v>
      </c>
      <c r="I23" s="7">
        <f t="shared" si="5"/>
        <v>850</v>
      </c>
      <c r="J23" s="12">
        <f ca="1" t="shared" si="3"/>
        <v>4.03014727354627</v>
      </c>
      <c r="K23" s="7"/>
      <c r="M23" s="24"/>
      <c r="N23" s="24"/>
      <c r="O23" s="24"/>
      <c r="P23" s="24"/>
      <c r="Q23" s="28"/>
      <c r="R23" s="28"/>
      <c r="S23" s="28"/>
      <c r="T23" s="28"/>
    </row>
    <row r="24" ht="15" hidden="1" spans="1:20">
      <c r="A24" s="8">
        <v>5</v>
      </c>
      <c r="B24" s="9" t="s">
        <v>93</v>
      </c>
      <c r="C24" s="7" t="s">
        <v>8</v>
      </c>
      <c r="D24" s="7">
        <v>1000</v>
      </c>
      <c r="E24" s="7">
        <v>150</v>
      </c>
      <c r="F24" s="7"/>
      <c r="G24" s="7"/>
      <c r="H24" s="7">
        <f t="shared" si="4"/>
        <v>150</v>
      </c>
      <c r="I24" s="7">
        <f t="shared" si="5"/>
        <v>1500</v>
      </c>
      <c r="J24" s="12">
        <f ca="1" t="shared" si="3"/>
        <v>7.11202460037577</v>
      </c>
      <c r="K24" s="7"/>
      <c r="M24" s="24"/>
      <c r="N24" s="24"/>
      <c r="O24" s="24"/>
      <c r="P24" s="24"/>
      <c r="Q24" s="28"/>
      <c r="R24" s="28"/>
      <c r="S24" s="28"/>
      <c r="T24" s="28"/>
    </row>
    <row r="25" ht="23.25" hidden="1" spans="1:20">
      <c r="A25" s="8">
        <v>6</v>
      </c>
      <c r="B25" s="9" t="s">
        <v>94</v>
      </c>
      <c r="C25" s="7" t="s">
        <v>8</v>
      </c>
      <c r="D25" s="7">
        <v>1000</v>
      </c>
      <c r="E25" s="7">
        <v>80</v>
      </c>
      <c r="F25" s="7"/>
      <c r="G25" s="7"/>
      <c r="H25" s="7">
        <f t="shared" si="4"/>
        <v>80</v>
      </c>
      <c r="I25" s="7">
        <f t="shared" si="5"/>
        <v>800</v>
      </c>
      <c r="J25" s="12">
        <f ca="1" t="shared" si="3"/>
        <v>3.79307978686708</v>
      </c>
      <c r="K25" s="7"/>
      <c r="M25" s="24"/>
      <c r="N25" s="24"/>
      <c r="O25" s="24"/>
      <c r="P25" s="24"/>
      <c r="Q25" s="28"/>
      <c r="R25" s="28"/>
      <c r="S25" s="28"/>
      <c r="T25" s="28"/>
    </row>
    <row r="26" ht="15" hidden="1" spans="1:20">
      <c r="A26" s="8">
        <v>7</v>
      </c>
      <c r="B26" s="9" t="s">
        <v>95</v>
      </c>
      <c r="C26" s="7" t="s">
        <v>8</v>
      </c>
      <c r="D26" s="7">
        <v>1000</v>
      </c>
      <c r="E26" s="7">
        <v>40</v>
      </c>
      <c r="F26" s="7"/>
      <c r="G26" s="7"/>
      <c r="H26" s="7">
        <f t="shared" si="4"/>
        <v>40</v>
      </c>
      <c r="I26" s="7">
        <f t="shared" si="5"/>
        <v>400</v>
      </c>
      <c r="J26" s="12">
        <f ca="1" t="shared" si="3"/>
        <v>1.89653989343354</v>
      </c>
      <c r="K26" s="7"/>
      <c r="M26" s="24"/>
      <c r="N26" s="24"/>
      <c r="O26" s="24"/>
      <c r="P26" s="24"/>
      <c r="Q26" s="28"/>
      <c r="R26" s="28"/>
      <c r="S26" s="28"/>
      <c r="T26" s="28"/>
    </row>
    <row r="27" ht="15" hidden="1" spans="1:20">
      <c r="A27" s="8">
        <v>8</v>
      </c>
      <c r="B27" s="9" t="s">
        <v>96</v>
      </c>
      <c r="C27" s="7" t="s">
        <v>8</v>
      </c>
      <c r="D27" s="7">
        <v>1000</v>
      </c>
      <c r="E27" s="7">
        <v>45</v>
      </c>
      <c r="F27" s="7"/>
      <c r="G27" s="7"/>
      <c r="H27" s="7">
        <f t="shared" si="4"/>
        <v>45</v>
      </c>
      <c r="I27" s="7">
        <f t="shared" si="5"/>
        <v>450</v>
      </c>
      <c r="J27" s="12">
        <f ca="1" t="shared" si="3"/>
        <v>2.13360738011273</v>
      </c>
      <c r="K27" s="7"/>
      <c r="M27" s="24"/>
      <c r="N27" s="24"/>
      <c r="O27" s="24"/>
      <c r="P27" s="24"/>
      <c r="Q27" s="28"/>
      <c r="R27" s="28"/>
      <c r="S27" s="28"/>
      <c r="T27" s="28"/>
    </row>
    <row r="28" ht="15" hidden="1" spans="1:20">
      <c r="A28" s="8">
        <v>9</v>
      </c>
      <c r="B28" s="9" t="s">
        <v>97</v>
      </c>
      <c r="C28" s="7" t="s">
        <v>8</v>
      </c>
      <c r="D28" s="7">
        <v>1000</v>
      </c>
      <c r="E28" s="7">
        <v>20</v>
      </c>
      <c r="F28" s="7"/>
      <c r="G28" s="7"/>
      <c r="H28" s="7">
        <f t="shared" si="4"/>
        <v>20</v>
      </c>
      <c r="I28" s="7">
        <f t="shared" si="5"/>
        <v>200</v>
      </c>
      <c r="J28" s="12">
        <f ca="1" t="shared" si="3"/>
        <v>0.94826994671677</v>
      </c>
      <c r="K28" s="7"/>
      <c r="M28" s="24"/>
      <c r="N28" s="24"/>
      <c r="O28" s="24"/>
      <c r="P28" s="24"/>
      <c r="Q28" s="28"/>
      <c r="R28" s="28"/>
      <c r="S28" s="28"/>
      <c r="T28" s="28"/>
    </row>
    <row r="29" ht="15" hidden="1" spans="1:20">
      <c r="A29" s="8">
        <v>10</v>
      </c>
      <c r="B29" s="9" t="s">
        <v>98</v>
      </c>
      <c r="C29" s="7" t="s">
        <v>8</v>
      </c>
      <c r="D29" s="7">
        <v>1000</v>
      </c>
      <c r="E29" s="7">
        <f>D29*1200/10000</f>
        <v>120</v>
      </c>
      <c r="F29" s="7"/>
      <c r="G29" s="7"/>
      <c r="H29" s="7">
        <f>E29</f>
        <v>120</v>
      </c>
      <c r="I29" s="7">
        <f t="shared" si="5"/>
        <v>1200</v>
      </c>
      <c r="J29" s="12">
        <f ca="1" t="shared" si="3"/>
        <v>5.68961968030062</v>
      </c>
      <c r="K29" s="7"/>
      <c r="M29" s="24"/>
      <c r="N29" s="24"/>
      <c r="O29" s="24"/>
      <c r="P29" s="24"/>
      <c r="Q29" s="28"/>
      <c r="R29" s="28"/>
      <c r="S29" s="28"/>
      <c r="T29" s="28"/>
    </row>
    <row r="30" ht="15" hidden="1" spans="1:20">
      <c r="A30" s="8"/>
      <c r="B30" s="7"/>
      <c r="C30" s="7"/>
      <c r="D30" s="7"/>
      <c r="E30" s="7"/>
      <c r="F30" s="7"/>
      <c r="G30" s="7"/>
      <c r="H30" s="7"/>
      <c r="I30" s="7"/>
      <c r="J30" s="7"/>
      <c r="K30" s="7"/>
      <c r="M30" s="24"/>
      <c r="N30" s="24"/>
      <c r="O30" s="24"/>
      <c r="P30" s="24"/>
      <c r="Q30" s="28"/>
      <c r="R30" s="28"/>
      <c r="S30" s="28"/>
      <c r="T30" s="28"/>
    </row>
    <row r="31" ht="15" hidden="1" spans="1:20">
      <c r="A31" s="8"/>
      <c r="B31" s="7"/>
      <c r="C31" s="7"/>
      <c r="D31" s="7"/>
      <c r="E31" s="11"/>
      <c r="F31" s="8"/>
      <c r="G31" s="7"/>
      <c r="H31" s="7"/>
      <c r="I31" s="7"/>
      <c r="J31" s="7"/>
      <c r="K31" s="7"/>
      <c r="M31" s="24"/>
      <c r="N31" s="24"/>
      <c r="O31" s="24"/>
      <c r="P31" s="24"/>
      <c r="Q31" s="28"/>
      <c r="R31" s="28"/>
      <c r="S31" s="28"/>
      <c r="T31" s="28"/>
    </row>
    <row r="32" ht="29.25" hidden="1" spans="1:20">
      <c r="A32" s="5" t="s">
        <v>99</v>
      </c>
      <c r="B32" s="6" t="s">
        <v>100</v>
      </c>
      <c r="C32" s="7"/>
      <c r="D32" s="7"/>
      <c r="E32" s="11"/>
      <c r="F32" s="8"/>
      <c r="G32" s="7"/>
      <c r="H32" s="12">
        <f ca="1">H53</f>
        <v>164.673850192679</v>
      </c>
      <c r="I32" s="7"/>
      <c r="J32" s="12">
        <f ca="1" t="shared" ref="J32:J35" si="6">H32/$H$59*100</f>
        <v>7.80776315739284</v>
      </c>
      <c r="K32" s="7"/>
      <c r="M32" s="24"/>
      <c r="N32" s="24"/>
      <c r="O32" s="24"/>
      <c r="P32" s="24"/>
      <c r="Q32" s="28"/>
      <c r="R32" s="28"/>
      <c r="S32" s="28"/>
      <c r="T32" s="28"/>
    </row>
    <row r="33" ht="29.25" hidden="1" spans="1:20">
      <c r="A33" s="8">
        <v>1</v>
      </c>
      <c r="B33" s="7" t="s">
        <v>101</v>
      </c>
      <c r="C33" s="7"/>
      <c r="D33" s="7"/>
      <c r="E33" s="11"/>
      <c r="F33" s="8"/>
      <c r="G33" s="13">
        <v>3.6</v>
      </c>
      <c r="H33" s="13">
        <f t="shared" ref="H33:H43" si="7">G33</f>
        <v>3.6</v>
      </c>
      <c r="I33" s="7"/>
      <c r="J33" s="12">
        <f ca="1" t="shared" si="6"/>
        <v>0.170688590409019</v>
      </c>
      <c r="K33" s="7"/>
      <c r="M33" s="24"/>
      <c r="N33" s="24"/>
      <c r="O33" s="24"/>
      <c r="P33" s="24"/>
      <c r="Q33" s="28"/>
      <c r="R33" s="28"/>
      <c r="S33" s="28"/>
      <c r="T33" s="28"/>
    </row>
    <row r="34" ht="43.5" spans="1:20">
      <c r="A34" s="8">
        <v>1.1</v>
      </c>
      <c r="B34" s="7" t="s">
        <v>102</v>
      </c>
      <c r="C34" s="7"/>
      <c r="D34" s="7" t="s">
        <v>103</v>
      </c>
      <c r="E34" s="11"/>
      <c r="F34" s="8"/>
      <c r="G34" s="13">
        <v>3.6</v>
      </c>
      <c r="H34" s="13">
        <f t="shared" si="7"/>
        <v>3.6</v>
      </c>
      <c r="I34" s="7"/>
      <c r="J34" s="12"/>
      <c r="K34" s="7" t="s">
        <v>104</v>
      </c>
      <c r="M34" s="24">
        <f>H34</f>
        <v>3.6</v>
      </c>
      <c r="N34" s="24"/>
      <c r="O34" s="24"/>
      <c r="P34" s="24"/>
      <c r="Q34" s="28"/>
      <c r="R34" s="28"/>
      <c r="S34" s="28"/>
      <c r="T34" s="28"/>
    </row>
    <row r="35" ht="15" hidden="1" spans="1:20">
      <c r="A35" s="8">
        <v>2</v>
      </c>
      <c r="B35" s="7" t="s">
        <v>105</v>
      </c>
      <c r="C35" s="7"/>
      <c r="D35" s="7"/>
      <c r="E35" s="11"/>
      <c r="F35" s="8"/>
      <c r="G35" s="13">
        <f>G36+G37+G38</f>
        <v>31.196309</v>
      </c>
      <c r="H35" s="13">
        <f t="shared" si="7"/>
        <v>31.196309</v>
      </c>
      <c r="I35" s="7"/>
      <c r="J35" s="12">
        <f ca="1" t="shared" si="6"/>
        <v>1.47912611365949</v>
      </c>
      <c r="K35" s="7"/>
      <c r="M35" s="24"/>
      <c r="N35" s="24"/>
      <c r="O35" s="24"/>
      <c r="P35" s="24"/>
      <c r="Q35" s="28"/>
      <c r="R35" s="28"/>
      <c r="S35" s="28"/>
      <c r="T35" s="28"/>
    </row>
    <row r="36" ht="43.5" spans="1:20">
      <c r="A36" s="8">
        <v>2.1</v>
      </c>
      <c r="B36" s="7" t="s">
        <v>106</v>
      </c>
      <c r="C36" s="7"/>
      <c r="D36" s="7" t="s">
        <v>63</v>
      </c>
      <c r="E36" s="11"/>
      <c r="F36" s="8"/>
      <c r="G36" s="13">
        <f>((20.9+(H19-500)/500*(38.8-20.9)))*0.85</f>
        <v>26.43755</v>
      </c>
      <c r="H36" s="13">
        <f t="shared" si="7"/>
        <v>26.43755</v>
      </c>
      <c r="I36" s="7"/>
      <c r="J36" s="12"/>
      <c r="K36" s="7" t="s">
        <v>107</v>
      </c>
      <c r="M36" s="24"/>
      <c r="N36" s="24">
        <f>H36</f>
        <v>26.43755</v>
      </c>
      <c r="O36" s="24"/>
      <c r="P36" s="24"/>
      <c r="Q36" s="28"/>
      <c r="R36" s="28"/>
      <c r="S36" s="28"/>
      <c r="T36" s="28"/>
    </row>
    <row r="37" ht="29.25" spans="1:20">
      <c r="A37" s="8">
        <v>2.2</v>
      </c>
      <c r="B37" s="7" t="s">
        <v>108</v>
      </c>
      <c r="C37" s="7"/>
      <c r="D37" s="7" t="s">
        <v>106</v>
      </c>
      <c r="E37" s="11"/>
      <c r="F37" s="8"/>
      <c r="G37" s="13">
        <f>G36*0.1</f>
        <v>2.643755</v>
      </c>
      <c r="H37" s="13">
        <f t="shared" si="7"/>
        <v>2.643755</v>
      </c>
      <c r="I37" s="7"/>
      <c r="J37" s="12"/>
      <c r="K37" s="7" t="s">
        <v>109</v>
      </c>
      <c r="M37" s="24"/>
      <c r="N37" s="24"/>
      <c r="O37" s="24">
        <f>G37</f>
        <v>2.643755</v>
      </c>
      <c r="P37" s="24"/>
      <c r="Q37" s="28"/>
      <c r="R37" s="28"/>
      <c r="S37" s="28"/>
      <c r="T37" s="28"/>
    </row>
    <row r="38" ht="29.25" spans="1:20">
      <c r="A38" s="8">
        <v>2.3</v>
      </c>
      <c r="B38" s="7" t="s">
        <v>110</v>
      </c>
      <c r="C38" s="7"/>
      <c r="D38" s="7" t="s">
        <v>106</v>
      </c>
      <c r="E38" s="11"/>
      <c r="F38" s="8"/>
      <c r="G38" s="13">
        <f>G36*0.08</f>
        <v>2.115004</v>
      </c>
      <c r="H38" s="13">
        <f t="shared" si="7"/>
        <v>2.115004</v>
      </c>
      <c r="I38" s="7"/>
      <c r="J38" s="12"/>
      <c r="K38" s="7" t="s">
        <v>109</v>
      </c>
      <c r="M38" s="24"/>
      <c r="N38" s="24"/>
      <c r="O38" s="24"/>
      <c r="P38" s="24"/>
      <c r="Q38" s="28"/>
      <c r="R38" s="28"/>
      <c r="S38" s="28"/>
      <c r="T38" s="28">
        <f>G38</f>
        <v>2.115004</v>
      </c>
    </row>
    <row r="39" ht="29.25" spans="1:20">
      <c r="A39" s="8">
        <v>3</v>
      </c>
      <c r="B39" s="7" t="s">
        <v>111</v>
      </c>
      <c r="C39" s="7"/>
      <c r="D39" s="7" t="s">
        <v>105</v>
      </c>
      <c r="E39" s="11"/>
      <c r="F39" s="8"/>
      <c r="G39" s="13">
        <f>G36*0.065</f>
        <v>1.71844075</v>
      </c>
      <c r="H39" s="13">
        <f t="shared" si="7"/>
        <v>1.71844075</v>
      </c>
      <c r="I39" s="7"/>
      <c r="J39" s="12">
        <f ca="1" t="shared" ref="J39:J42" si="8">H39/$H$59*100</f>
        <v>0.0814772859219213</v>
      </c>
      <c r="K39" s="7" t="s">
        <v>109</v>
      </c>
      <c r="M39" s="24"/>
      <c r="N39" s="24"/>
      <c r="O39" s="24">
        <f>G39</f>
        <v>1.71844075</v>
      </c>
      <c r="P39" s="24"/>
      <c r="Q39" s="28"/>
      <c r="R39" s="28"/>
      <c r="S39" s="28"/>
      <c r="T39" s="28"/>
    </row>
    <row r="40" ht="29.25" spans="1:20">
      <c r="A40" s="8">
        <v>4</v>
      </c>
      <c r="B40" s="7" t="s">
        <v>112</v>
      </c>
      <c r="C40" s="7"/>
      <c r="D40" s="7" t="s">
        <v>103</v>
      </c>
      <c r="E40" s="11"/>
      <c r="F40" s="8"/>
      <c r="G40" s="13">
        <f ca="1">(100*1.2+400*1.1+(H59-1000)*1)/100</f>
        <v>16.6910406569846</v>
      </c>
      <c r="H40" s="13">
        <f ca="1" t="shared" si="7"/>
        <v>16.6910406569846</v>
      </c>
      <c r="I40" s="7"/>
      <c r="J40" s="12">
        <f ca="1" t="shared" si="8"/>
        <v>0.791380611722311</v>
      </c>
      <c r="K40" s="7" t="s">
        <v>113</v>
      </c>
      <c r="M40" s="24"/>
      <c r="N40" s="24"/>
      <c r="O40" s="24"/>
      <c r="P40" s="24">
        <f ca="1">$G$40*0.5</f>
        <v>8.34552032849229</v>
      </c>
      <c r="Q40" s="24"/>
      <c r="R40" s="24"/>
      <c r="S40" s="24"/>
      <c r="T40" s="24">
        <f ca="1">$G$40*0.5</f>
        <v>8.34552032849229</v>
      </c>
    </row>
    <row r="41" ht="50" customHeight="1" spans="1:20">
      <c r="A41" s="8">
        <v>5</v>
      </c>
      <c r="B41" s="7" t="s">
        <v>114</v>
      </c>
      <c r="C41" s="7"/>
      <c r="D41" s="7" t="s">
        <v>63</v>
      </c>
      <c r="E41" s="11"/>
      <c r="F41" s="8"/>
      <c r="G41" s="13">
        <f>(30.1+(H19+H3*0.4-1000)/2000*(78.1-30.1))*0.85</f>
        <v>30.15868</v>
      </c>
      <c r="H41" s="13">
        <f t="shared" si="7"/>
        <v>30.15868</v>
      </c>
      <c r="I41" s="7"/>
      <c r="J41" s="12">
        <f ca="1" t="shared" si="8"/>
        <v>1.42992849383241</v>
      </c>
      <c r="K41" s="7" t="s">
        <v>115</v>
      </c>
      <c r="M41" s="24"/>
      <c r="N41" s="24"/>
      <c r="O41" s="24"/>
      <c r="P41" s="24"/>
      <c r="Q41" s="28">
        <f>$G$41*0.5</f>
        <v>15.07934</v>
      </c>
      <c r="R41" s="28"/>
      <c r="S41" s="28"/>
      <c r="T41" s="24">
        <f>$G$41*0.5</f>
        <v>15.07934</v>
      </c>
    </row>
    <row r="42" ht="15" hidden="1" spans="1:20">
      <c r="A42" s="8">
        <v>6</v>
      </c>
      <c r="B42" s="7" t="s">
        <v>116</v>
      </c>
      <c r="C42" s="7"/>
      <c r="D42" s="7"/>
      <c r="E42" s="11"/>
      <c r="F42" s="8"/>
      <c r="G42" s="13">
        <f ca="1">SUM(G43:G46)</f>
        <v>16.4602458098548</v>
      </c>
      <c r="H42" s="13">
        <f ca="1" t="shared" si="7"/>
        <v>16.4602458098548</v>
      </c>
      <c r="I42" s="7"/>
      <c r="J42" s="12">
        <f ca="1" t="shared" si="8"/>
        <v>0.780437820852796</v>
      </c>
      <c r="K42" s="7"/>
      <c r="M42" s="24"/>
      <c r="N42" s="24"/>
      <c r="O42" s="24"/>
      <c r="P42" s="24"/>
      <c r="Q42" s="28"/>
      <c r="R42" s="28"/>
      <c r="S42" s="28"/>
      <c r="T42" s="28"/>
    </row>
    <row r="43" ht="29.25" spans="1:20">
      <c r="A43" s="8">
        <v>6.1</v>
      </c>
      <c r="B43" s="7" t="s">
        <v>117</v>
      </c>
      <c r="C43" s="7"/>
      <c r="D43" s="7" t="s">
        <v>63</v>
      </c>
      <c r="E43" s="11"/>
      <c r="F43" s="8"/>
      <c r="G43" s="13">
        <f>(100*0.01+400*0.007+(H19-500)*0.0055)</f>
        <v>5.3675</v>
      </c>
      <c r="H43" s="13">
        <f t="shared" si="7"/>
        <v>5.3675</v>
      </c>
      <c r="I43" s="7"/>
      <c r="J43" s="12"/>
      <c r="K43" s="14" t="s">
        <v>109</v>
      </c>
      <c r="M43" s="24"/>
      <c r="N43" s="24"/>
      <c r="O43" s="24"/>
      <c r="P43" s="24"/>
      <c r="Q43" s="28">
        <f>G43</f>
        <v>5.3675</v>
      </c>
      <c r="R43" s="28"/>
      <c r="S43" s="28"/>
      <c r="T43" s="28"/>
    </row>
    <row r="44" ht="29.25" spans="1:20">
      <c r="A44" s="8">
        <v>6.2</v>
      </c>
      <c r="B44" s="7" t="s">
        <v>118</v>
      </c>
      <c r="C44" s="7"/>
      <c r="D44" s="7" t="s">
        <v>64</v>
      </c>
      <c r="E44" s="11"/>
      <c r="F44" s="8"/>
      <c r="G44" s="13">
        <f>(100*1.5+400*1.1+500*0.8+(H3-1000)*0.5)/100</f>
        <v>10.39</v>
      </c>
      <c r="H44" s="13"/>
      <c r="I44" s="7"/>
      <c r="J44" s="12"/>
      <c r="K44" s="14"/>
      <c r="M44" s="24"/>
      <c r="N44" s="24"/>
      <c r="O44" s="24"/>
      <c r="P44" s="24"/>
      <c r="Q44" s="28"/>
      <c r="R44" s="28">
        <f>G44</f>
        <v>10.39</v>
      </c>
      <c r="S44" s="28"/>
      <c r="T44" s="28"/>
    </row>
    <row r="45" ht="29.25" spans="1:20">
      <c r="A45" s="8">
        <v>6.3</v>
      </c>
      <c r="B45" s="7" t="s">
        <v>119</v>
      </c>
      <c r="C45" s="7"/>
      <c r="D45" s="7" t="s">
        <v>114</v>
      </c>
      <c r="E45" s="11"/>
      <c r="F45" s="8"/>
      <c r="G45" s="13">
        <f>G41*0.015</f>
        <v>0.4523802</v>
      </c>
      <c r="H45" s="13">
        <f t="shared" ref="H45:H50" si="9">G45</f>
        <v>0.4523802</v>
      </c>
      <c r="I45" s="7"/>
      <c r="J45" s="12"/>
      <c r="K45" s="14"/>
      <c r="M45" s="24"/>
      <c r="N45" s="24"/>
      <c r="O45" s="24"/>
      <c r="P45" s="24"/>
      <c r="Q45" s="28">
        <f>G45</f>
        <v>0.4523802</v>
      </c>
      <c r="R45" s="28"/>
      <c r="S45" s="28"/>
      <c r="T45" s="28"/>
    </row>
    <row r="46" ht="43.5" spans="1:20">
      <c r="A46" s="8">
        <v>6.4</v>
      </c>
      <c r="B46" s="7" t="s">
        <v>120</v>
      </c>
      <c r="C46" s="7"/>
      <c r="D46" s="7" t="s">
        <v>121</v>
      </c>
      <c r="E46" s="11"/>
      <c r="F46" s="8"/>
      <c r="G46" s="13">
        <f ca="1">G40*0.015</f>
        <v>0.250365609854769</v>
      </c>
      <c r="H46" s="13">
        <f ca="1" t="shared" si="9"/>
        <v>0.250365609854769</v>
      </c>
      <c r="I46" s="7"/>
      <c r="J46" s="12"/>
      <c r="K46" s="7"/>
      <c r="M46" s="24"/>
      <c r="N46" s="24"/>
      <c r="O46" s="24">
        <f ca="1">G46</f>
        <v>0.250365609854769</v>
      </c>
      <c r="P46" s="24"/>
      <c r="Q46" s="28"/>
      <c r="R46" s="28"/>
      <c r="S46" s="28"/>
      <c r="T46" s="28"/>
    </row>
    <row r="47" ht="29.25" spans="1:20">
      <c r="A47" s="8">
        <v>7</v>
      </c>
      <c r="B47" s="7" t="s">
        <v>122</v>
      </c>
      <c r="C47" s="7"/>
      <c r="D47" s="7" t="s">
        <v>63</v>
      </c>
      <c r="E47" s="11"/>
      <c r="F47" s="8"/>
      <c r="G47" s="13">
        <f>(H3+H19)*0.003</f>
        <v>5.649</v>
      </c>
      <c r="H47" s="13">
        <f t="shared" si="9"/>
        <v>5.649</v>
      </c>
      <c r="I47" s="7"/>
      <c r="J47" s="12">
        <f ca="1" t="shared" ref="J47:J50" si="10">H47/$H$59*100</f>
        <v>0.267838846450152</v>
      </c>
      <c r="K47" s="7" t="s">
        <v>123</v>
      </c>
      <c r="M47" s="24"/>
      <c r="N47" s="24"/>
      <c r="O47" s="24"/>
      <c r="P47" s="24"/>
      <c r="Q47" s="28">
        <f>G47</f>
        <v>5.649</v>
      </c>
      <c r="R47" s="28"/>
      <c r="S47" s="28"/>
      <c r="T47" s="28"/>
    </row>
    <row r="48" ht="29.25" spans="1:20">
      <c r="A48" s="8">
        <v>8</v>
      </c>
      <c r="B48" s="7" t="s">
        <v>124</v>
      </c>
      <c r="C48" s="7"/>
      <c r="D48" s="7" t="s">
        <v>63</v>
      </c>
      <c r="E48" s="11"/>
      <c r="F48" s="8"/>
      <c r="G48" s="7">
        <f>(H19)*0.02</f>
        <v>15.7</v>
      </c>
      <c r="H48" s="7">
        <f t="shared" si="9"/>
        <v>15.7</v>
      </c>
      <c r="I48" s="7"/>
      <c r="J48" s="12">
        <f ca="1" t="shared" si="10"/>
        <v>0.744391908172664</v>
      </c>
      <c r="K48" s="7" t="s">
        <v>125</v>
      </c>
      <c r="M48" s="24"/>
      <c r="N48" s="24"/>
      <c r="O48" s="24"/>
      <c r="P48" s="24"/>
      <c r="Q48" s="28"/>
      <c r="R48" s="28">
        <f>G48</f>
        <v>15.7</v>
      </c>
      <c r="S48" s="28"/>
      <c r="T48" s="28"/>
    </row>
    <row r="49" ht="43.5" spans="1:20">
      <c r="A49" s="8">
        <v>9</v>
      </c>
      <c r="B49" s="7" t="s">
        <v>126</v>
      </c>
      <c r="C49" s="7"/>
      <c r="D49" s="7" t="s">
        <v>103</v>
      </c>
      <c r="E49" s="11"/>
      <c r="F49" s="8"/>
      <c r="G49" s="7">
        <f>(5+0.8)*0.6</f>
        <v>3.48</v>
      </c>
      <c r="H49" s="7">
        <f t="shared" si="9"/>
        <v>3.48</v>
      </c>
      <c r="I49" s="7"/>
      <c r="J49" s="12">
        <f ca="1" t="shared" si="10"/>
        <v>0.164998970728718</v>
      </c>
      <c r="K49" s="7" t="s">
        <v>127</v>
      </c>
      <c r="M49" s="24"/>
      <c r="N49" s="24">
        <f>G49</f>
        <v>3.48</v>
      </c>
      <c r="O49" s="24"/>
      <c r="P49" s="24"/>
      <c r="Q49" s="28"/>
      <c r="R49" s="28"/>
      <c r="S49" s="28"/>
      <c r="T49" s="28"/>
    </row>
    <row r="50" ht="44.25" customHeight="1" spans="1:20">
      <c r="A50" s="20">
        <v>10</v>
      </c>
      <c r="B50" s="14" t="s">
        <v>128</v>
      </c>
      <c r="C50" s="7"/>
      <c r="D50" s="7" t="s">
        <v>63</v>
      </c>
      <c r="E50" s="11"/>
      <c r="F50" s="8"/>
      <c r="G50" s="13">
        <f>H19*0.005</f>
        <v>3.925</v>
      </c>
      <c r="H50" s="21">
        <f t="shared" si="9"/>
        <v>3.925</v>
      </c>
      <c r="I50" s="7"/>
      <c r="J50" s="17">
        <f ca="1" t="shared" si="10"/>
        <v>0.186097977043166</v>
      </c>
      <c r="K50" s="7" t="s">
        <v>123</v>
      </c>
      <c r="M50" s="24"/>
      <c r="N50" s="24"/>
      <c r="O50" s="24"/>
      <c r="P50" s="24"/>
      <c r="Q50" s="28">
        <f>G50</f>
        <v>3.925</v>
      </c>
      <c r="R50" s="28"/>
      <c r="S50" s="28"/>
      <c r="T50" s="28"/>
    </row>
    <row r="51" ht="40" customHeight="1" spans="1:20">
      <c r="A51" s="8"/>
      <c r="B51" s="7" t="s">
        <v>129</v>
      </c>
      <c r="C51" s="7"/>
      <c r="D51" s="7"/>
      <c r="E51" s="11"/>
      <c r="F51" s="8"/>
      <c r="G51" s="13"/>
      <c r="H51" s="13"/>
      <c r="I51" s="7"/>
      <c r="J51" s="12"/>
      <c r="K51" s="7"/>
      <c r="M51" s="24"/>
      <c r="N51" s="24"/>
      <c r="O51" s="24"/>
      <c r="P51" s="24"/>
      <c r="Q51" s="28"/>
      <c r="R51" s="28"/>
      <c r="S51" s="28"/>
      <c r="T51" s="28"/>
    </row>
    <row r="52" ht="29.25" spans="1:20">
      <c r="A52" s="8">
        <v>11</v>
      </c>
      <c r="B52" s="7" t="s">
        <v>130</v>
      </c>
      <c r="C52" s="7"/>
      <c r="D52" s="7" t="s">
        <v>103</v>
      </c>
      <c r="E52" s="11"/>
      <c r="F52" s="8"/>
      <c r="G52" s="13">
        <f ca="1">20+(H59-G52-1000)*0.015</f>
        <v>36.0951339758393</v>
      </c>
      <c r="H52" s="13">
        <f ca="1" t="shared" ref="H52:H57" si="11">G52</f>
        <v>36.0951339758393</v>
      </c>
      <c r="I52" s="7"/>
      <c r="J52" s="12">
        <f ca="1" t="shared" ref="J52:J57" si="12">H52/$H$59*100</f>
        <v>1.71139653860019</v>
      </c>
      <c r="K52" s="7" t="s">
        <v>131</v>
      </c>
      <c r="M52" s="24"/>
      <c r="N52" s="24"/>
      <c r="O52" s="24">
        <f ca="1">G52*0.5</f>
        <v>18.0475669879196</v>
      </c>
      <c r="P52" s="24"/>
      <c r="Q52" s="28"/>
      <c r="R52" s="28"/>
      <c r="S52" s="28"/>
      <c r="T52" s="28">
        <f ca="1">G52*0.5</f>
        <v>18.0475669879196</v>
      </c>
    </row>
    <row r="53" ht="15" spans="1:20">
      <c r="A53" s="8"/>
      <c r="B53" s="7" t="s">
        <v>132</v>
      </c>
      <c r="C53" s="7"/>
      <c r="D53" s="7"/>
      <c r="E53" s="11"/>
      <c r="F53" s="8"/>
      <c r="G53" s="13">
        <f ca="1">G33+G35+G39+G40+G41+G42+G47+G48+G49+G50+G52</f>
        <v>164.673850192679</v>
      </c>
      <c r="H53" s="13">
        <f ca="1" t="shared" si="11"/>
        <v>164.673850192679</v>
      </c>
      <c r="I53" s="7"/>
      <c r="J53" s="12">
        <f ca="1" t="shared" si="12"/>
        <v>7.80776315739284</v>
      </c>
      <c r="K53" s="7"/>
      <c r="M53" s="24"/>
      <c r="N53" s="24"/>
      <c r="O53" s="24"/>
      <c r="P53" s="24"/>
      <c r="Q53" s="28"/>
      <c r="R53" s="28"/>
      <c r="S53" s="28"/>
      <c r="T53" s="28"/>
    </row>
    <row r="54" ht="15" spans="1:20">
      <c r="A54" s="8"/>
      <c r="B54" s="7"/>
      <c r="C54" s="7"/>
      <c r="D54" s="7"/>
      <c r="E54" s="11"/>
      <c r="F54" s="8"/>
      <c r="G54" s="7"/>
      <c r="H54" s="7"/>
      <c r="I54" s="7"/>
      <c r="J54" s="7"/>
      <c r="K54" s="7"/>
      <c r="M54" s="24"/>
      <c r="N54" s="24"/>
      <c r="O54" s="24"/>
      <c r="P54" s="24"/>
      <c r="Q54" s="28"/>
      <c r="R54" s="28"/>
      <c r="S54" s="28"/>
      <c r="T54" s="28"/>
    </row>
    <row r="55" ht="15" spans="1:20">
      <c r="A55" s="5" t="s">
        <v>133</v>
      </c>
      <c r="B55" s="6" t="s">
        <v>134</v>
      </c>
      <c r="C55" s="7"/>
      <c r="D55" s="7"/>
      <c r="E55" s="11"/>
      <c r="F55" s="8"/>
      <c r="G55" s="7"/>
      <c r="H55" s="12">
        <f ca="1">H56</f>
        <v>61.4302155057804</v>
      </c>
      <c r="I55" s="7"/>
      <c r="J55" s="7"/>
      <c r="K55" s="7"/>
      <c r="M55" s="24"/>
      <c r="N55" s="24"/>
      <c r="O55" s="24"/>
      <c r="P55" s="24"/>
      <c r="Q55" s="28"/>
      <c r="R55" s="28"/>
      <c r="S55" s="28"/>
      <c r="T55" s="28"/>
    </row>
    <row r="56" ht="29.25" spans="1:20">
      <c r="A56" s="8">
        <v>1</v>
      </c>
      <c r="B56" s="7" t="s">
        <v>135</v>
      </c>
      <c r="C56" s="7"/>
      <c r="D56" s="7"/>
      <c r="E56" s="11"/>
      <c r="F56" s="8"/>
      <c r="G56" s="13">
        <f ca="1">(H53+H19+H3)*0.03</f>
        <v>61.4302155057804</v>
      </c>
      <c r="H56" s="13">
        <f ca="1" t="shared" si="11"/>
        <v>61.4302155057804</v>
      </c>
      <c r="I56" s="7"/>
      <c r="J56" s="12">
        <f ca="1" t="shared" si="12"/>
        <v>2.9126213592233</v>
      </c>
      <c r="K56" s="7"/>
      <c r="M56" s="24"/>
      <c r="N56" s="24"/>
      <c r="O56" s="24"/>
      <c r="P56" s="24"/>
      <c r="Q56" s="28"/>
      <c r="R56" s="28"/>
      <c r="S56" s="28"/>
      <c r="T56" s="28">
        <f ca="1">G56</f>
        <v>61.4302155057804</v>
      </c>
    </row>
    <row r="57" ht="15" spans="1:20">
      <c r="A57" s="8"/>
      <c r="B57" s="7" t="s">
        <v>132</v>
      </c>
      <c r="C57" s="7"/>
      <c r="D57" s="7"/>
      <c r="E57" s="11"/>
      <c r="F57" s="8"/>
      <c r="G57" s="13">
        <f ca="1">G56</f>
        <v>61.4302155057804</v>
      </c>
      <c r="H57" s="13">
        <f ca="1" t="shared" si="11"/>
        <v>61.4302155057804</v>
      </c>
      <c r="I57" s="7"/>
      <c r="J57" s="12">
        <f ca="1" t="shared" si="12"/>
        <v>2.9126213592233</v>
      </c>
      <c r="K57" s="7"/>
      <c r="M57" s="24"/>
      <c r="N57" s="24"/>
      <c r="O57" s="24"/>
      <c r="P57" s="24"/>
      <c r="Q57" s="28"/>
      <c r="R57" s="28"/>
      <c r="S57" s="28"/>
      <c r="T57" s="28"/>
    </row>
    <row r="58" ht="15" spans="1:20">
      <c r="A58" s="8"/>
      <c r="B58" s="7"/>
      <c r="C58" s="7"/>
      <c r="D58" s="7"/>
      <c r="E58" s="11"/>
      <c r="F58" s="8"/>
      <c r="G58" s="7"/>
      <c r="H58" s="7"/>
      <c r="I58" s="7"/>
      <c r="J58" s="7"/>
      <c r="K58" s="7"/>
      <c r="M58" s="24"/>
      <c r="N58" s="24"/>
      <c r="O58" s="24"/>
      <c r="P58" s="24"/>
      <c r="Q58" s="28"/>
      <c r="R58" s="28"/>
      <c r="S58" s="28"/>
      <c r="T58" s="28"/>
    </row>
    <row r="59" ht="15" spans="1:20">
      <c r="A59" s="8"/>
      <c r="B59" s="7" t="s">
        <v>136</v>
      </c>
      <c r="C59" s="7"/>
      <c r="D59" s="7"/>
      <c r="E59" s="11">
        <f>SUM(H19)</f>
        <v>785</v>
      </c>
      <c r="F59" s="8">
        <f>H3</f>
        <v>1098</v>
      </c>
      <c r="G59" s="13">
        <f ca="1">G57+G53</f>
        <v>226.104065698459</v>
      </c>
      <c r="H59" s="13">
        <f ca="1">G59+F59+E59</f>
        <v>2109.10406569846</v>
      </c>
      <c r="I59" s="7"/>
      <c r="J59" s="12">
        <f ca="1">H59/$H$59*100</f>
        <v>100</v>
      </c>
      <c r="K59" s="18"/>
      <c r="L59" s="25" t="s">
        <v>66</v>
      </c>
      <c r="M59" s="26">
        <f t="shared" ref="M59:T59" si="13">SUM(M3:M58)</f>
        <v>3.6</v>
      </c>
      <c r="N59" s="26">
        <f t="shared" si="13"/>
        <v>29.91755</v>
      </c>
      <c r="O59" s="26">
        <f ca="1" t="shared" si="13"/>
        <v>22.6601283477744</v>
      </c>
      <c r="P59" s="26">
        <f ca="1" t="shared" si="13"/>
        <v>8.34552032849229</v>
      </c>
      <c r="Q59" s="26">
        <f t="shared" si="13"/>
        <v>30.4732202</v>
      </c>
      <c r="R59" s="26">
        <f t="shared" si="13"/>
        <v>811.09</v>
      </c>
      <c r="S59" s="26">
        <f t="shared" si="13"/>
        <v>1098</v>
      </c>
      <c r="T59" s="26">
        <f ca="1" t="shared" si="13"/>
        <v>105.017646822192</v>
      </c>
    </row>
  </sheetData>
  <mergeCells count="20">
    <mergeCell ref="E1:H1"/>
    <mergeCell ref="M2:O2"/>
    <mergeCell ref="P2:Q2"/>
    <mergeCell ref="R2:S2"/>
    <mergeCell ref="A1:A2"/>
    <mergeCell ref="A50:A51"/>
    <mergeCell ref="B1:B2"/>
    <mergeCell ref="C1:C2"/>
    <mergeCell ref="C50:C51"/>
    <mergeCell ref="D50:D51"/>
    <mergeCell ref="E50:E51"/>
    <mergeCell ref="F50:F51"/>
    <mergeCell ref="G50:G51"/>
    <mergeCell ref="H50:H51"/>
    <mergeCell ref="I50:I51"/>
    <mergeCell ref="J1:J2"/>
    <mergeCell ref="J50:J51"/>
    <mergeCell ref="K1:K2"/>
    <mergeCell ref="K43:K46"/>
    <mergeCell ref="K50:K51"/>
  </mergeCells>
  <pageMargins left="0.75" right="0.75" top="1" bottom="1" header="0.5" footer="0.5"/>
  <pageSetup paperSize="9" scale="73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55"/>
  <sheetViews>
    <sheetView topLeftCell="A13" workbookViewId="0">
      <selection activeCell="K40" sqref="K40:K42"/>
    </sheetView>
  </sheetViews>
  <sheetFormatPr defaultColWidth="9" defaultRowHeight="13.5"/>
  <cols>
    <col min="7" max="7" width="12.6333333333333"/>
    <col min="8" max="8" width="14.1333333333333"/>
    <col min="10" max="10" width="12.6333333333333"/>
    <col min="11" max="11" width="15.6333333333333" customWidth="1"/>
    <col min="13" max="13" width="12.6333333333333"/>
  </cols>
  <sheetData>
    <row r="1" ht="30" customHeight="1" spans="1:11">
      <c r="A1" s="1" t="s">
        <v>1</v>
      </c>
      <c r="B1" s="2" t="s">
        <v>57</v>
      </c>
      <c r="C1" s="2" t="s">
        <v>3</v>
      </c>
      <c r="D1" s="3" t="s">
        <v>58</v>
      </c>
      <c r="E1" s="2" t="s">
        <v>59</v>
      </c>
      <c r="F1" s="2"/>
      <c r="G1" s="2"/>
      <c r="H1" s="2"/>
      <c r="I1" s="3" t="s">
        <v>60</v>
      </c>
      <c r="J1" s="15" t="s">
        <v>61</v>
      </c>
      <c r="K1" s="2" t="s">
        <v>5</v>
      </c>
    </row>
    <row r="2" ht="29.25" spans="1:11">
      <c r="A2" s="1"/>
      <c r="B2" s="2"/>
      <c r="C2" s="2"/>
      <c r="D2" s="4" t="s">
        <v>62</v>
      </c>
      <c r="E2" s="4" t="s">
        <v>137</v>
      </c>
      <c r="F2" s="4" t="s">
        <v>138</v>
      </c>
      <c r="G2" s="4" t="s">
        <v>65</v>
      </c>
      <c r="H2" s="4" t="s">
        <v>66</v>
      </c>
      <c r="I2" s="16" t="s">
        <v>67</v>
      </c>
      <c r="J2" s="15"/>
      <c r="K2" s="2"/>
    </row>
    <row r="3" ht="29.25" spans="1:11">
      <c r="A3" s="5" t="s">
        <v>72</v>
      </c>
      <c r="B3" s="6" t="s">
        <v>139</v>
      </c>
      <c r="C3" s="7"/>
      <c r="D3" s="7"/>
      <c r="E3" s="7"/>
      <c r="F3" s="7"/>
      <c r="G3" s="7"/>
      <c r="H3" s="6">
        <f>SUM(H5:H26)</f>
        <v>2228</v>
      </c>
      <c r="I3" s="7"/>
      <c r="J3" s="12">
        <f ca="1" t="shared" ref="J3:J26" si="0">H3/$H$55*100</f>
        <v>84.7859137178585</v>
      </c>
      <c r="K3" s="7"/>
    </row>
    <row r="4" ht="15" spans="1:11">
      <c r="A4" s="8">
        <v>1</v>
      </c>
      <c r="B4" s="7" t="s">
        <v>140</v>
      </c>
      <c r="C4" s="7" t="s">
        <v>8</v>
      </c>
      <c r="D4" s="7">
        <v>1000</v>
      </c>
      <c r="E4" s="7"/>
      <c r="F4" s="7"/>
      <c r="G4" s="7"/>
      <c r="H4" s="7"/>
      <c r="I4" s="7">
        <f>H3/D4</f>
        <v>2.228</v>
      </c>
      <c r="J4" s="12"/>
      <c r="K4" s="7"/>
    </row>
    <row r="5" ht="23.25" spans="1:11">
      <c r="A5" s="8">
        <v>1.1</v>
      </c>
      <c r="B5" s="9" t="s">
        <v>73</v>
      </c>
      <c r="C5" s="7" t="s">
        <v>74</v>
      </c>
      <c r="D5" s="7">
        <v>8</v>
      </c>
      <c r="E5" s="7"/>
      <c r="F5" s="7">
        <v>164</v>
      </c>
      <c r="G5" s="7"/>
      <c r="H5" s="7">
        <f t="shared" ref="H5:H25" si="1">E5+F5+G5</f>
        <v>164</v>
      </c>
      <c r="I5" s="7">
        <f t="shared" ref="I5:I26" si="2">H5/D5</f>
        <v>20.5</v>
      </c>
      <c r="J5" s="12">
        <f ca="1" t="shared" si="0"/>
        <v>6.24097390023734</v>
      </c>
      <c r="K5" s="7"/>
    </row>
    <row r="6" ht="23.25" spans="1:11">
      <c r="A6" s="8">
        <v>1.2</v>
      </c>
      <c r="B6" s="9" t="s">
        <v>75</v>
      </c>
      <c r="C6" s="7" t="s">
        <v>74</v>
      </c>
      <c r="D6" s="7">
        <v>2</v>
      </c>
      <c r="E6" s="7"/>
      <c r="F6" s="7">
        <v>30</v>
      </c>
      <c r="G6" s="7"/>
      <c r="H6" s="7">
        <f t="shared" si="1"/>
        <v>30</v>
      </c>
      <c r="I6" s="7">
        <f t="shared" si="2"/>
        <v>15</v>
      </c>
      <c r="J6" s="12">
        <f ca="1" t="shared" si="0"/>
        <v>1.14164156711659</v>
      </c>
      <c r="K6" s="7"/>
    </row>
    <row r="7" ht="23.25" spans="1:11">
      <c r="A7" s="8">
        <v>1.3</v>
      </c>
      <c r="B7" s="9" t="s">
        <v>76</v>
      </c>
      <c r="C7" s="10" t="s">
        <v>41</v>
      </c>
      <c r="D7" s="7">
        <v>1</v>
      </c>
      <c r="E7" s="7"/>
      <c r="F7" s="7">
        <v>18</v>
      </c>
      <c r="G7" s="7"/>
      <c r="H7" s="7">
        <f t="shared" si="1"/>
        <v>18</v>
      </c>
      <c r="I7" s="7">
        <f t="shared" si="2"/>
        <v>18</v>
      </c>
      <c r="J7" s="12">
        <f ca="1" t="shared" si="0"/>
        <v>0.684984940269952</v>
      </c>
      <c r="K7" s="7"/>
    </row>
    <row r="8" ht="23.25" spans="1:11">
      <c r="A8" s="8">
        <v>1.4</v>
      </c>
      <c r="B8" s="9" t="s">
        <v>77</v>
      </c>
      <c r="C8" s="10" t="s">
        <v>41</v>
      </c>
      <c r="D8" s="7">
        <v>10</v>
      </c>
      <c r="E8" s="7"/>
      <c r="F8" s="7">
        <v>300</v>
      </c>
      <c r="G8" s="7"/>
      <c r="H8" s="7">
        <f t="shared" si="1"/>
        <v>300</v>
      </c>
      <c r="I8" s="7">
        <f t="shared" si="2"/>
        <v>30</v>
      </c>
      <c r="J8" s="12">
        <f ca="1" t="shared" si="0"/>
        <v>11.4164156711659</v>
      </c>
      <c r="K8" s="7"/>
    </row>
    <row r="9" ht="23.25" spans="1:11">
      <c r="A9" s="8">
        <v>1.5</v>
      </c>
      <c r="B9" s="9" t="s">
        <v>78</v>
      </c>
      <c r="C9" s="7" t="s">
        <v>74</v>
      </c>
      <c r="D9" s="7">
        <v>20</v>
      </c>
      <c r="E9" s="7"/>
      <c r="F9" s="7">
        <v>330</v>
      </c>
      <c r="G9" s="7"/>
      <c r="H9" s="7">
        <f t="shared" si="1"/>
        <v>330</v>
      </c>
      <c r="I9" s="7">
        <f t="shared" si="2"/>
        <v>16.5</v>
      </c>
      <c r="J9" s="12">
        <f ca="1" t="shared" si="0"/>
        <v>12.5580572382825</v>
      </c>
      <c r="K9" s="7"/>
    </row>
    <row r="10" ht="23.25" spans="1:11">
      <c r="A10" s="8">
        <v>1.6</v>
      </c>
      <c r="B10" s="9" t="s">
        <v>79</v>
      </c>
      <c r="C10" s="10" t="s">
        <v>41</v>
      </c>
      <c r="D10" s="7">
        <v>4</v>
      </c>
      <c r="E10" s="7"/>
      <c r="F10" s="7">
        <v>23.6</v>
      </c>
      <c r="G10" s="7"/>
      <c r="H10" s="7">
        <f t="shared" si="1"/>
        <v>23.6</v>
      </c>
      <c r="I10" s="7">
        <f t="shared" si="2"/>
        <v>5.9</v>
      </c>
      <c r="J10" s="12">
        <f ca="1" t="shared" si="0"/>
        <v>0.898091366131715</v>
      </c>
      <c r="K10" s="7"/>
    </row>
    <row r="11" ht="23.25" spans="1:11">
      <c r="A11" s="8">
        <v>1.7</v>
      </c>
      <c r="B11" s="9" t="s">
        <v>80</v>
      </c>
      <c r="C11" s="10" t="s">
        <v>41</v>
      </c>
      <c r="D11" s="7">
        <v>12</v>
      </c>
      <c r="E11" s="7"/>
      <c r="F11" s="7">
        <v>93.6</v>
      </c>
      <c r="G11" s="7"/>
      <c r="H11" s="7">
        <f t="shared" si="1"/>
        <v>93.6</v>
      </c>
      <c r="I11" s="7">
        <f t="shared" si="2"/>
        <v>7.8</v>
      </c>
      <c r="J11" s="12">
        <f ca="1" t="shared" si="0"/>
        <v>3.56192168940375</v>
      </c>
      <c r="K11" s="7"/>
    </row>
    <row r="12" ht="23.25" spans="1:11">
      <c r="A12" s="8">
        <v>1.8</v>
      </c>
      <c r="B12" s="9" t="s">
        <v>81</v>
      </c>
      <c r="C12" s="7" t="s">
        <v>74</v>
      </c>
      <c r="D12" s="7">
        <v>2</v>
      </c>
      <c r="E12" s="7"/>
      <c r="F12" s="7">
        <v>26</v>
      </c>
      <c r="G12" s="7"/>
      <c r="H12" s="7">
        <f t="shared" si="1"/>
        <v>26</v>
      </c>
      <c r="I12" s="7">
        <f t="shared" si="2"/>
        <v>13</v>
      </c>
      <c r="J12" s="12">
        <f ca="1" t="shared" si="0"/>
        <v>0.989422691501042</v>
      </c>
      <c r="K12" s="7"/>
    </row>
    <row r="13" ht="34.5" spans="1:11">
      <c r="A13" s="8">
        <v>1.9</v>
      </c>
      <c r="B13" s="9" t="s">
        <v>82</v>
      </c>
      <c r="C13" s="7" t="s">
        <v>74</v>
      </c>
      <c r="D13" s="7">
        <v>6</v>
      </c>
      <c r="E13" s="7"/>
      <c r="F13" s="7">
        <v>10.8</v>
      </c>
      <c r="G13" s="7"/>
      <c r="H13" s="7">
        <f t="shared" si="1"/>
        <v>10.8</v>
      </c>
      <c r="I13" s="7">
        <f t="shared" si="2"/>
        <v>1.8</v>
      </c>
      <c r="J13" s="12">
        <f ca="1" t="shared" si="0"/>
        <v>0.410990964161971</v>
      </c>
      <c r="K13" s="7"/>
    </row>
    <row r="14" ht="34.5" spans="1:11">
      <c r="A14" s="8">
        <v>1.1</v>
      </c>
      <c r="B14" s="9" t="s">
        <v>83</v>
      </c>
      <c r="C14" s="7" t="s">
        <v>74</v>
      </c>
      <c r="D14" s="7">
        <v>4</v>
      </c>
      <c r="E14" s="7"/>
      <c r="F14" s="7">
        <v>34</v>
      </c>
      <c r="G14" s="7"/>
      <c r="H14" s="7">
        <f t="shared" si="1"/>
        <v>34</v>
      </c>
      <c r="I14" s="7">
        <f t="shared" si="2"/>
        <v>8.5</v>
      </c>
      <c r="J14" s="12">
        <f ca="1" t="shared" si="0"/>
        <v>1.29386044273213</v>
      </c>
      <c r="K14" s="7"/>
    </row>
    <row r="15" ht="34.5" spans="1:11">
      <c r="A15" s="8">
        <v>1.11</v>
      </c>
      <c r="B15" s="9" t="s">
        <v>84</v>
      </c>
      <c r="C15" s="7" t="s">
        <v>74</v>
      </c>
      <c r="D15" s="7">
        <v>1</v>
      </c>
      <c r="E15" s="7"/>
      <c r="F15" s="7">
        <v>8</v>
      </c>
      <c r="G15" s="7"/>
      <c r="H15" s="7">
        <f t="shared" si="1"/>
        <v>8</v>
      </c>
      <c r="I15" s="7">
        <f t="shared" si="2"/>
        <v>8</v>
      </c>
      <c r="J15" s="12">
        <f ca="1" t="shared" si="0"/>
        <v>0.30443775123109</v>
      </c>
      <c r="K15" s="7"/>
    </row>
    <row r="16" ht="34.5" spans="1:11">
      <c r="A16" s="8">
        <v>1.12</v>
      </c>
      <c r="B16" s="9" t="s">
        <v>85</v>
      </c>
      <c r="C16" s="7" t="s">
        <v>74</v>
      </c>
      <c r="D16" s="7">
        <v>24</v>
      </c>
      <c r="E16" s="7"/>
      <c r="F16" s="7">
        <v>15.6</v>
      </c>
      <c r="G16" s="7"/>
      <c r="H16" s="7">
        <f t="shared" si="1"/>
        <v>15.6</v>
      </c>
      <c r="I16" s="7">
        <f t="shared" si="2"/>
        <v>0.65</v>
      </c>
      <c r="J16" s="12">
        <f ca="1" t="shared" si="0"/>
        <v>0.593653614900625</v>
      </c>
      <c r="K16" s="7"/>
    </row>
    <row r="17" ht="34.5" spans="1:11">
      <c r="A17" s="8">
        <v>1.13</v>
      </c>
      <c r="B17" s="9" t="s">
        <v>86</v>
      </c>
      <c r="C17" s="7" t="s">
        <v>41</v>
      </c>
      <c r="D17" s="7">
        <v>1</v>
      </c>
      <c r="E17" s="7"/>
      <c r="F17" s="7">
        <v>29</v>
      </c>
      <c r="G17" s="7"/>
      <c r="H17" s="7">
        <f t="shared" si="1"/>
        <v>29</v>
      </c>
      <c r="I17" s="7">
        <f t="shared" si="2"/>
        <v>29</v>
      </c>
      <c r="J17" s="12">
        <f ca="1" t="shared" si="0"/>
        <v>1.1035868482127</v>
      </c>
      <c r="K17" s="7"/>
    </row>
    <row r="18" ht="23.25" spans="1:11">
      <c r="A18" s="8">
        <v>1.14</v>
      </c>
      <c r="B18" s="9" t="s">
        <v>87</v>
      </c>
      <c r="C18" s="7" t="s">
        <v>41</v>
      </c>
      <c r="D18" s="7">
        <v>1</v>
      </c>
      <c r="E18" s="7"/>
      <c r="F18" s="7">
        <v>15.4</v>
      </c>
      <c r="G18" s="7"/>
      <c r="H18" s="7">
        <f t="shared" si="1"/>
        <v>15.4</v>
      </c>
      <c r="I18" s="7">
        <f t="shared" si="2"/>
        <v>15.4</v>
      </c>
      <c r="J18" s="12">
        <f ca="1" t="shared" si="0"/>
        <v>0.586042671119848</v>
      </c>
      <c r="K18" s="7"/>
    </row>
    <row r="19" ht="23.25" spans="1:11">
      <c r="A19" s="8">
        <v>2</v>
      </c>
      <c r="B19" s="9" t="s">
        <v>89</v>
      </c>
      <c r="C19" s="7" t="s">
        <v>41</v>
      </c>
      <c r="D19" s="7">
        <v>1</v>
      </c>
      <c r="E19" s="7">
        <v>270</v>
      </c>
      <c r="F19" s="7"/>
      <c r="G19" s="7"/>
      <c r="H19" s="7">
        <f t="shared" si="1"/>
        <v>270</v>
      </c>
      <c r="I19" s="7">
        <f t="shared" si="2"/>
        <v>270</v>
      </c>
      <c r="J19" s="12">
        <f ca="1" t="shared" si="0"/>
        <v>10.2747741040493</v>
      </c>
      <c r="K19" s="7"/>
    </row>
    <row r="20" ht="34.5" spans="1:11">
      <c r="A20" s="8">
        <v>3</v>
      </c>
      <c r="B20" s="9" t="s">
        <v>90</v>
      </c>
      <c r="C20" s="7" t="s">
        <v>41</v>
      </c>
      <c r="D20" s="7">
        <v>1</v>
      </c>
      <c r="E20" s="7">
        <v>185</v>
      </c>
      <c r="F20" s="7"/>
      <c r="G20" s="7"/>
      <c r="H20" s="7">
        <f t="shared" si="1"/>
        <v>185</v>
      </c>
      <c r="I20" s="7">
        <f t="shared" si="2"/>
        <v>185</v>
      </c>
      <c r="J20" s="12">
        <f ca="1" t="shared" si="0"/>
        <v>7.04012299721895</v>
      </c>
      <c r="K20" s="7"/>
    </row>
    <row r="21" ht="34.5" spans="1:11">
      <c r="A21" s="8">
        <v>4</v>
      </c>
      <c r="B21" s="9" t="s">
        <v>91</v>
      </c>
      <c r="C21" s="7" t="s">
        <v>41</v>
      </c>
      <c r="D21" s="7">
        <v>1</v>
      </c>
      <c r="E21" s="7">
        <v>90</v>
      </c>
      <c r="F21" s="7"/>
      <c r="G21" s="7"/>
      <c r="H21" s="7">
        <f t="shared" si="1"/>
        <v>90</v>
      </c>
      <c r="I21" s="7">
        <f t="shared" si="2"/>
        <v>90</v>
      </c>
      <c r="J21" s="12">
        <f ca="1" t="shared" si="0"/>
        <v>3.42492470134976</v>
      </c>
      <c r="K21" s="7"/>
    </row>
    <row r="22" ht="23.25" spans="1:11">
      <c r="A22" s="8">
        <v>5</v>
      </c>
      <c r="B22" s="9" t="s">
        <v>92</v>
      </c>
      <c r="C22" s="7" t="s">
        <v>41</v>
      </c>
      <c r="D22" s="7">
        <v>1</v>
      </c>
      <c r="E22" s="7">
        <v>85</v>
      </c>
      <c r="F22" s="7"/>
      <c r="G22" s="7"/>
      <c r="H22" s="7">
        <f t="shared" si="1"/>
        <v>85</v>
      </c>
      <c r="I22" s="7">
        <f t="shared" si="2"/>
        <v>85</v>
      </c>
      <c r="J22" s="12">
        <f ca="1" t="shared" si="0"/>
        <v>3.23465110683033</v>
      </c>
      <c r="K22" s="7"/>
    </row>
    <row r="23" ht="23.25" spans="1:11">
      <c r="A23" s="8">
        <v>6</v>
      </c>
      <c r="B23" s="9" t="s">
        <v>93</v>
      </c>
      <c r="C23" s="7" t="s">
        <v>41</v>
      </c>
      <c r="D23" s="7">
        <v>1</v>
      </c>
      <c r="E23" s="7">
        <v>190</v>
      </c>
      <c r="F23" s="7"/>
      <c r="G23" s="7"/>
      <c r="H23" s="7">
        <f t="shared" si="1"/>
        <v>190</v>
      </c>
      <c r="I23" s="7">
        <f t="shared" si="2"/>
        <v>190</v>
      </c>
      <c r="J23" s="12">
        <f ca="1" t="shared" si="0"/>
        <v>7.23039659173838</v>
      </c>
      <c r="K23" s="7"/>
    </row>
    <row r="24" ht="34.5" spans="1:11">
      <c r="A24" s="8">
        <v>7</v>
      </c>
      <c r="B24" s="9" t="s">
        <v>94</v>
      </c>
      <c r="C24" s="7" t="s">
        <v>41</v>
      </c>
      <c r="D24" s="7">
        <v>1</v>
      </c>
      <c r="E24" s="7">
        <v>160</v>
      </c>
      <c r="F24" s="7"/>
      <c r="G24" s="7"/>
      <c r="H24" s="7">
        <f t="shared" si="1"/>
        <v>160</v>
      </c>
      <c r="I24" s="7">
        <f t="shared" si="2"/>
        <v>160</v>
      </c>
      <c r="J24" s="12">
        <f ca="1" t="shared" si="0"/>
        <v>6.0887550246218</v>
      </c>
      <c r="K24" s="7"/>
    </row>
    <row r="25" ht="15" spans="1:11">
      <c r="A25" s="8">
        <v>8</v>
      </c>
      <c r="B25" s="9" t="s">
        <v>141</v>
      </c>
      <c r="C25" s="7" t="s">
        <v>41</v>
      </c>
      <c r="D25" s="7">
        <v>1</v>
      </c>
      <c r="E25" s="7">
        <v>30</v>
      </c>
      <c r="F25" s="7"/>
      <c r="G25" s="7"/>
      <c r="H25" s="7">
        <f t="shared" si="1"/>
        <v>30</v>
      </c>
      <c r="I25" s="7">
        <f t="shared" si="2"/>
        <v>30</v>
      </c>
      <c r="J25" s="12">
        <f ca="1" t="shared" si="0"/>
        <v>1.14164156711659</v>
      </c>
      <c r="K25" s="7"/>
    </row>
    <row r="26" ht="15" spans="1:11">
      <c r="A26" s="8">
        <v>9</v>
      </c>
      <c r="B26" s="9" t="s">
        <v>142</v>
      </c>
      <c r="C26" s="7" t="s">
        <v>8</v>
      </c>
      <c r="D26" s="7">
        <v>1000</v>
      </c>
      <c r="E26" s="7">
        <f>D26*1200/10000</f>
        <v>120</v>
      </c>
      <c r="F26" s="7"/>
      <c r="G26" s="7"/>
      <c r="H26" s="7">
        <f>E26</f>
        <v>120</v>
      </c>
      <c r="I26" s="7">
        <f t="shared" si="2"/>
        <v>0.12</v>
      </c>
      <c r="J26" s="12">
        <f ca="1" t="shared" si="0"/>
        <v>4.56656626846635</v>
      </c>
      <c r="K26" s="7"/>
    </row>
    <row r="27" ht="15" spans="1:11">
      <c r="A27" s="8"/>
      <c r="B27" s="7" t="s">
        <v>143</v>
      </c>
      <c r="C27" s="7"/>
      <c r="D27" s="7"/>
      <c r="E27" s="7">
        <f t="shared" ref="E27:H27" si="3">SUM(E5:E26)</f>
        <v>1130</v>
      </c>
      <c r="F27" s="7">
        <f t="shared" si="3"/>
        <v>1098</v>
      </c>
      <c r="G27" s="7"/>
      <c r="H27" s="7">
        <f t="shared" si="3"/>
        <v>2228</v>
      </c>
      <c r="I27" s="7"/>
      <c r="J27" s="7"/>
      <c r="K27" s="7"/>
    </row>
    <row r="28" ht="15" spans="1:11">
      <c r="A28" s="8"/>
      <c r="B28" s="7"/>
      <c r="C28" s="7"/>
      <c r="D28" s="7"/>
      <c r="E28" s="11"/>
      <c r="F28" s="8"/>
      <c r="G28" s="7"/>
      <c r="H28" s="7"/>
      <c r="I28" s="7"/>
      <c r="J28" s="7"/>
      <c r="K28" s="7"/>
    </row>
    <row r="29" ht="43.5" spans="1:11">
      <c r="A29" s="5" t="s">
        <v>88</v>
      </c>
      <c r="B29" s="6" t="s">
        <v>100</v>
      </c>
      <c r="C29" s="7"/>
      <c r="D29" s="7"/>
      <c r="E29" s="11"/>
      <c r="F29" s="8"/>
      <c r="G29" s="7"/>
      <c r="H29" s="12">
        <f ca="1">H30+H32+H33+H37+H38+H39+H43+H44+H45+H46+H48</f>
        <v>323.257279970656</v>
      </c>
      <c r="I29" s="7"/>
      <c r="J29" s="12">
        <f ca="1" t="shared" ref="J29:J33" si="4">H29/$H$55*100</f>
        <v>12.3014649229182</v>
      </c>
      <c r="K29" s="7"/>
    </row>
    <row r="30" ht="43.5" spans="1:11">
      <c r="A30" s="8">
        <v>1</v>
      </c>
      <c r="B30" s="7" t="s">
        <v>101</v>
      </c>
      <c r="C30" s="7"/>
      <c r="D30" s="7"/>
      <c r="E30" s="11"/>
      <c r="F30" s="8"/>
      <c r="G30" s="13">
        <v>3.6</v>
      </c>
      <c r="H30" s="13">
        <f t="shared" ref="H30:H46" si="5">G30</f>
        <v>3.6</v>
      </c>
      <c r="I30" s="7"/>
      <c r="J30" s="12">
        <f ca="1" t="shared" si="4"/>
        <v>0.13699698805399</v>
      </c>
      <c r="K30" s="7"/>
    </row>
    <row r="31" ht="43.5" spans="1:11">
      <c r="A31" s="8">
        <v>1.1</v>
      </c>
      <c r="B31" s="7" t="s">
        <v>102</v>
      </c>
      <c r="C31" s="7"/>
      <c r="D31" s="7" t="s">
        <v>103</v>
      </c>
      <c r="E31" s="11"/>
      <c r="F31" s="8"/>
      <c r="G31" s="13">
        <v>3.6</v>
      </c>
      <c r="H31" s="13">
        <f t="shared" si="5"/>
        <v>3.6</v>
      </c>
      <c r="I31" s="7"/>
      <c r="J31" s="12"/>
      <c r="K31" s="7" t="s">
        <v>104</v>
      </c>
    </row>
    <row r="32" ht="29.25" spans="1:11">
      <c r="A32" s="8">
        <v>2</v>
      </c>
      <c r="B32" s="7" t="s">
        <v>144</v>
      </c>
      <c r="C32" s="7"/>
      <c r="D32" s="7"/>
      <c r="E32" s="11"/>
      <c r="F32" s="8"/>
      <c r="G32" s="13">
        <v>0</v>
      </c>
      <c r="H32" s="13">
        <f t="shared" si="5"/>
        <v>0</v>
      </c>
      <c r="I32" s="7"/>
      <c r="J32" s="12"/>
      <c r="K32" s="7"/>
    </row>
    <row r="33" ht="29.25" spans="1:11">
      <c r="A33" s="8">
        <v>3</v>
      </c>
      <c r="B33" s="7" t="s">
        <v>105</v>
      </c>
      <c r="C33" s="7"/>
      <c r="D33" s="7"/>
      <c r="E33" s="11"/>
      <c r="F33" s="8"/>
      <c r="G33" s="13">
        <f>G34+G35+G36</f>
        <v>103.309</v>
      </c>
      <c r="H33" s="13">
        <f t="shared" si="5"/>
        <v>103.309</v>
      </c>
      <c r="I33" s="7"/>
      <c r="J33" s="12">
        <f ca="1" t="shared" si="4"/>
        <v>3.93139495524158</v>
      </c>
      <c r="K33" s="7"/>
    </row>
    <row r="34" ht="29.25" spans="1:11">
      <c r="A34" s="8">
        <v>3.1</v>
      </c>
      <c r="B34" s="7" t="s">
        <v>106</v>
      </c>
      <c r="C34" s="7"/>
      <c r="D34" s="7" t="s">
        <v>63</v>
      </c>
      <c r="E34" s="11"/>
      <c r="F34" s="8"/>
      <c r="G34" s="13">
        <f>(38.8+1500/2000*(103.8-38.8))</f>
        <v>87.55</v>
      </c>
      <c r="H34" s="13">
        <f t="shared" si="5"/>
        <v>87.55</v>
      </c>
      <c r="I34" s="7"/>
      <c r="J34" s="12"/>
      <c r="K34" s="7" t="s">
        <v>145</v>
      </c>
    </row>
    <row r="35" ht="29.25" spans="1:11">
      <c r="A35" s="8">
        <v>3.2</v>
      </c>
      <c r="B35" s="7" t="s">
        <v>108</v>
      </c>
      <c r="C35" s="7"/>
      <c r="D35" s="7" t="s">
        <v>106</v>
      </c>
      <c r="E35" s="11"/>
      <c r="F35" s="8"/>
      <c r="G35" s="13">
        <f>G34*0.1</f>
        <v>8.755</v>
      </c>
      <c r="H35" s="13">
        <f t="shared" si="5"/>
        <v>8.755</v>
      </c>
      <c r="I35" s="7"/>
      <c r="J35" s="12"/>
      <c r="K35" s="7" t="s">
        <v>145</v>
      </c>
    </row>
    <row r="36" ht="29.25" spans="1:11">
      <c r="A36" s="8">
        <v>3.3</v>
      </c>
      <c r="B36" s="7" t="s">
        <v>110</v>
      </c>
      <c r="C36" s="7"/>
      <c r="D36" s="7" t="s">
        <v>106</v>
      </c>
      <c r="E36" s="11"/>
      <c r="F36" s="8"/>
      <c r="G36" s="13">
        <f>G34*0.08</f>
        <v>7.004</v>
      </c>
      <c r="H36" s="13">
        <f t="shared" si="5"/>
        <v>7.004</v>
      </c>
      <c r="I36" s="7"/>
      <c r="J36" s="12"/>
      <c r="K36" s="7" t="s">
        <v>145</v>
      </c>
    </row>
    <row r="37" ht="29.25" spans="1:11">
      <c r="A37" s="8">
        <v>4</v>
      </c>
      <c r="B37" s="7" t="s">
        <v>111</v>
      </c>
      <c r="C37" s="7"/>
      <c r="D37" s="7" t="s">
        <v>105</v>
      </c>
      <c r="E37" s="11"/>
      <c r="F37" s="8"/>
      <c r="G37" s="13">
        <f>(G32+G33)*0.065</f>
        <v>6.715085</v>
      </c>
      <c r="H37" s="13">
        <f t="shared" si="5"/>
        <v>6.715085</v>
      </c>
      <c r="I37" s="7"/>
      <c r="J37" s="12">
        <f ca="1" t="shared" ref="J37:J46" si="6">H37/$H$55*100</f>
        <v>0.255540672090703</v>
      </c>
      <c r="K37" s="7" t="s">
        <v>109</v>
      </c>
    </row>
    <row r="38" ht="29.25" spans="1:11">
      <c r="A38" s="8">
        <v>5</v>
      </c>
      <c r="B38" s="7" t="s">
        <v>114</v>
      </c>
      <c r="C38" s="7"/>
      <c r="D38" s="7" t="s">
        <v>63</v>
      </c>
      <c r="E38" s="11"/>
      <c r="F38" s="8"/>
      <c r="G38" s="13">
        <f>H27*0.0375</f>
        <v>83.55</v>
      </c>
      <c r="H38" s="13">
        <f t="shared" si="5"/>
        <v>83.55</v>
      </c>
      <c r="I38" s="7"/>
      <c r="J38" s="12">
        <f ca="1" t="shared" si="6"/>
        <v>3.17947176441969</v>
      </c>
      <c r="K38" s="7" t="s">
        <v>146</v>
      </c>
    </row>
    <row r="39" ht="29.25" spans="1:11">
      <c r="A39" s="8">
        <v>6</v>
      </c>
      <c r="B39" s="7" t="s">
        <v>116</v>
      </c>
      <c r="C39" s="7"/>
      <c r="D39" s="7"/>
      <c r="E39" s="11"/>
      <c r="F39" s="8"/>
      <c r="G39" s="13">
        <f>G41+G42+G40</f>
        <v>14.602885</v>
      </c>
      <c r="H39" s="13">
        <f t="shared" si="5"/>
        <v>14.602885</v>
      </c>
      <c r="I39" s="7"/>
      <c r="J39" s="12">
        <f ca="1" t="shared" si="6"/>
        <v>0.555708683860777</v>
      </c>
      <c r="K39" s="7"/>
    </row>
    <row r="40" ht="29.25" spans="1:11">
      <c r="A40" s="8">
        <v>6.1</v>
      </c>
      <c r="B40" s="7" t="s">
        <v>147</v>
      </c>
      <c r="C40" s="7"/>
      <c r="D40" s="7" t="s">
        <v>63</v>
      </c>
      <c r="E40" s="11"/>
      <c r="F40" s="8"/>
      <c r="G40" s="7">
        <f>(100*0.01+400*0.007+500*0.0055+1500*0.0035)</f>
        <v>11.8</v>
      </c>
      <c r="H40" s="7">
        <f t="shared" si="5"/>
        <v>11.8</v>
      </c>
      <c r="I40" s="7"/>
      <c r="J40" s="12">
        <f ca="1" t="shared" si="6"/>
        <v>0.449045683065858</v>
      </c>
      <c r="K40" s="14" t="s">
        <v>148</v>
      </c>
    </row>
    <row r="41" ht="29.25" spans="1:11">
      <c r="A41" s="8">
        <v>6.2</v>
      </c>
      <c r="B41" s="7" t="s">
        <v>149</v>
      </c>
      <c r="C41" s="7"/>
      <c r="D41" s="7" t="s">
        <v>105</v>
      </c>
      <c r="E41" s="11"/>
      <c r="F41" s="8"/>
      <c r="G41" s="13">
        <f>(G32+G33)*0.015</f>
        <v>1.549635</v>
      </c>
      <c r="H41" s="13">
        <f t="shared" si="5"/>
        <v>1.549635</v>
      </c>
      <c r="I41" s="7"/>
      <c r="J41" s="12">
        <f ca="1" t="shared" si="6"/>
        <v>0.0589709243286237</v>
      </c>
      <c r="K41" s="14"/>
    </row>
    <row r="42" ht="29.25" spans="1:11">
      <c r="A42" s="8">
        <v>6.3</v>
      </c>
      <c r="B42" s="7" t="s">
        <v>119</v>
      </c>
      <c r="C42" s="7"/>
      <c r="D42" s="7" t="s">
        <v>114</v>
      </c>
      <c r="E42" s="11"/>
      <c r="F42" s="8"/>
      <c r="G42" s="13">
        <f>G38*0.015</f>
        <v>1.25325</v>
      </c>
      <c r="H42" s="13">
        <f t="shared" si="5"/>
        <v>1.25325</v>
      </c>
      <c r="I42" s="7"/>
      <c r="J42" s="12">
        <f ca="1" t="shared" si="6"/>
        <v>0.0476920764662954</v>
      </c>
      <c r="K42" s="7"/>
    </row>
    <row r="43" ht="29.25" spans="1:11">
      <c r="A43" s="8">
        <v>7</v>
      </c>
      <c r="B43" s="7" t="s">
        <v>122</v>
      </c>
      <c r="C43" s="7"/>
      <c r="D43" s="7" t="s">
        <v>63</v>
      </c>
      <c r="E43" s="11"/>
      <c r="F43" s="8"/>
      <c r="G43" s="13">
        <f ca="1">H55*0.003</f>
        <v>7.88338499510933</v>
      </c>
      <c r="H43" s="13">
        <f ca="1" t="shared" si="5"/>
        <v>7.88338499510933</v>
      </c>
      <c r="I43" s="7"/>
      <c r="J43" s="12">
        <f ca="1" t="shared" si="6"/>
        <v>0.3</v>
      </c>
      <c r="K43" s="7" t="s">
        <v>123</v>
      </c>
    </row>
    <row r="44" ht="29.25" spans="1:11">
      <c r="A44" s="8">
        <v>8</v>
      </c>
      <c r="B44" s="7" t="s">
        <v>124</v>
      </c>
      <c r="C44" s="7"/>
      <c r="D44" s="7" t="s">
        <v>63</v>
      </c>
      <c r="E44" s="11"/>
      <c r="F44" s="8"/>
      <c r="G44" s="7">
        <f>H3*0.02</f>
        <v>44.56</v>
      </c>
      <c r="H44" s="7">
        <f t="shared" si="5"/>
        <v>44.56</v>
      </c>
      <c r="I44" s="7"/>
      <c r="J44" s="12">
        <f ca="1" t="shared" si="6"/>
        <v>1.69571827435717</v>
      </c>
      <c r="K44" s="7" t="s">
        <v>125</v>
      </c>
    </row>
    <row r="45" ht="29.25" spans="1:11">
      <c r="A45" s="8">
        <v>9</v>
      </c>
      <c r="B45" s="7" t="s">
        <v>126</v>
      </c>
      <c r="C45" s="7"/>
      <c r="D45" s="7" t="s">
        <v>103</v>
      </c>
      <c r="E45" s="11"/>
      <c r="F45" s="8"/>
      <c r="G45" s="7">
        <f>(5+0.8)*0.6</f>
        <v>3.48</v>
      </c>
      <c r="H45" s="7">
        <f t="shared" si="5"/>
        <v>3.48</v>
      </c>
      <c r="I45" s="7"/>
      <c r="J45" s="12">
        <f ca="1" t="shared" si="6"/>
        <v>0.132430421785524</v>
      </c>
      <c r="K45" s="7" t="s">
        <v>127</v>
      </c>
    </row>
    <row r="46" ht="44.25" customHeight="1" spans="1:11">
      <c r="A46" s="8">
        <v>10</v>
      </c>
      <c r="B46" s="14" t="s">
        <v>128</v>
      </c>
      <c r="C46" s="7"/>
      <c r="D46" s="7" t="s">
        <v>63</v>
      </c>
      <c r="E46" s="11"/>
      <c r="F46" s="8"/>
      <c r="G46" s="7">
        <f>H27*0.005</f>
        <v>11.14</v>
      </c>
      <c r="H46" s="14">
        <f t="shared" si="5"/>
        <v>11.14</v>
      </c>
      <c r="I46" s="7"/>
      <c r="J46" s="17">
        <f ca="1" t="shared" si="6"/>
        <v>0.423929568589293</v>
      </c>
      <c r="K46" s="7" t="s">
        <v>123</v>
      </c>
    </row>
    <row r="47" ht="29.25" spans="1:11">
      <c r="A47" s="8"/>
      <c r="B47" s="7" t="s">
        <v>129</v>
      </c>
      <c r="C47" s="7"/>
      <c r="D47" s="7"/>
      <c r="E47" s="11"/>
      <c r="F47" s="8"/>
      <c r="G47" s="7"/>
      <c r="H47" s="7"/>
      <c r="I47" s="7"/>
      <c r="J47" s="12"/>
      <c r="K47" s="7"/>
    </row>
    <row r="48" ht="29.25" spans="1:11">
      <c r="A48" s="8">
        <v>11</v>
      </c>
      <c r="B48" s="7" t="s">
        <v>150</v>
      </c>
      <c r="C48" s="7"/>
      <c r="D48" s="7" t="s">
        <v>103</v>
      </c>
      <c r="E48" s="11"/>
      <c r="F48" s="8"/>
      <c r="G48" s="13">
        <f ca="1">20+(H55-1000)*0.015</f>
        <v>44.4169249755466</v>
      </c>
      <c r="H48" s="13">
        <f ca="1" t="shared" ref="H48:H53" si="7">G48</f>
        <v>44.4169249755466</v>
      </c>
      <c r="I48" s="7"/>
      <c r="J48" s="12">
        <f ca="1" t="shared" ref="J48:J53" si="8">H48/$H$55*100</f>
        <v>1.69027359451943</v>
      </c>
      <c r="K48" s="7" t="s">
        <v>131</v>
      </c>
    </row>
    <row r="49" ht="15" spans="1:11">
      <c r="A49" s="8"/>
      <c r="B49" s="7" t="s">
        <v>132</v>
      </c>
      <c r="C49" s="7"/>
      <c r="D49" s="7"/>
      <c r="E49" s="11"/>
      <c r="F49" s="8"/>
      <c r="G49" s="13">
        <f ca="1">G30+G32+G33+G37+G38+G39+G43+G44+G45+G46+G48</f>
        <v>323.257279970656</v>
      </c>
      <c r="H49" s="13">
        <f ca="1">H30+H32+H33+H37+H38+H39+H43+H44+H45+H46+H48</f>
        <v>323.257279970656</v>
      </c>
      <c r="I49" s="7"/>
      <c r="J49" s="12">
        <f ca="1" t="shared" si="8"/>
        <v>12.3014649229182</v>
      </c>
      <c r="K49" s="7"/>
    </row>
    <row r="50" ht="15" spans="1:11">
      <c r="A50" s="8"/>
      <c r="B50" s="7"/>
      <c r="C50" s="7"/>
      <c r="D50" s="7"/>
      <c r="E50" s="11"/>
      <c r="F50" s="8"/>
      <c r="G50" s="7"/>
      <c r="H50" s="7"/>
      <c r="I50" s="7"/>
      <c r="J50" s="7"/>
      <c r="K50" s="7"/>
    </row>
    <row r="51" ht="15" spans="1:11">
      <c r="A51" s="5" t="s">
        <v>99</v>
      </c>
      <c r="B51" s="6" t="s">
        <v>134</v>
      </c>
      <c r="C51" s="7"/>
      <c r="D51" s="7"/>
      <c r="E51" s="11"/>
      <c r="F51" s="8"/>
      <c r="G51" s="7"/>
      <c r="H51" s="6">
        <f ca="1">H52</f>
        <v>76.5377183991197</v>
      </c>
      <c r="I51" s="7"/>
      <c r="J51" s="7"/>
      <c r="K51" s="7"/>
    </row>
    <row r="52" ht="72" spans="1:11">
      <c r="A52" s="8">
        <v>1</v>
      </c>
      <c r="B52" s="7" t="s">
        <v>135</v>
      </c>
      <c r="C52" s="7"/>
      <c r="D52" s="7"/>
      <c r="E52" s="11"/>
      <c r="F52" s="8"/>
      <c r="G52" s="13">
        <f ca="1">(H49+H27)*0.03</f>
        <v>76.5377183991197</v>
      </c>
      <c r="H52" s="13">
        <f ca="1" t="shared" si="7"/>
        <v>76.5377183991197</v>
      </c>
      <c r="I52" s="7"/>
      <c r="J52" s="12">
        <f ca="1" t="shared" si="8"/>
        <v>2.9126213592233</v>
      </c>
      <c r="K52" s="7"/>
    </row>
    <row r="53" ht="15" spans="1:11">
      <c r="A53" s="8"/>
      <c r="B53" s="7" t="s">
        <v>132</v>
      </c>
      <c r="C53" s="7"/>
      <c r="D53" s="7"/>
      <c r="E53" s="11"/>
      <c r="F53" s="8"/>
      <c r="G53" s="13">
        <f ca="1">G52</f>
        <v>76.5377183991197</v>
      </c>
      <c r="H53" s="13">
        <f ca="1" t="shared" si="7"/>
        <v>76.5377183991197</v>
      </c>
      <c r="I53" s="7"/>
      <c r="J53" s="12">
        <f ca="1" t="shared" si="8"/>
        <v>2.9126213592233</v>
      </c>
      <c r="K53" s="7"/>
    </row>
    <row r="54" ht="15" spans="1:11">
      <c r="A54" s="8"/>
      <c r="B54" s="7"/>
      <c r="C54" s="7"/>
      <c r="D54" s="7"/>
      <c r="E54" s="11"/>
      <c r="F54" s="8"/>
      <c r="G54" s="7"/>
      <c r="H54" s="7"/>
      <c r="I54" s="7"/>
      <c r="J54" s="7"/>
      <c r="K54" s="7"/>
    </row>
    <row r="55" ht="29.25" spans="1:11">
      <c r="A55" s="8"/>
      <c r="B55" s="7" t="s">
        <v>136</v>
      </c>
      <c r="C55" s="7"/>
      <c r="D55" s="7"/>
      <c r="E55" s="11">
        <f>SUM(E27)</f>
        <v>1130</v>
      </c>
      <c r="F55" s="8">
        <f>F27</f>
        <v>1098</v>
      </c>
      <c r="G55" s="13">
        <f ca="1">G53+G49</f>
        <v>399.794998369776</v>
      </c>
      <c r="H55" s="13">
        <f ca="1">H53+H49+H27</f>
        <v>2627.79499836978</v>
      </c>
      <c r="I55" s="7"/>
      <c r="J55" s="12">
        <f ca="1">H55/$H$55*100</f>
        <v>100</v>
      </c>
      <c r="K55" s="18"/>
    </row>
  </sheetData>
  <mergeCells count="17">
    <mergeCell ref="E1:H1"/>
    <mergeCell ref="A1:A2"/>
    <mergeCell ref="A46:A47"/>
    <mergeCell ref="B1:B2"/>
    <mergeCell ref="C1:C2"/>
    <mergeCell ref="C46:C47"/>
    <mergeCell ref="D46:D47"/>
    <mergeCell ref="E46:E47"/>
    <mergeCell ref="F46:F47"/>
    <mergeCell ref="G46:G47"/>
    <mergeCell ref="H46:H47"/>
    <mergeCell ref="I46:I47"/>
    <mergeCell ref="J1:J2"/>
    <mergeCell ref="J46:J47"/>
    <mergeCell ref="K1:K2"/>
    <mergeCell ref="K40:K42"/>
    <mergeCell ref="K46:K47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改造需求工程量</vt:lpstr>
      <vt:lpstr>资金支付节点</vt:lpstr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审核</dc:creator>
  <cp:lastModifiedBy>徐四凤</cp:lastModifiedBy>
  <dcterms:created xsi:type="dcterms:W3CDTF">2022-03-23T02:44:00Z</dcterms:created>
  <dcterms:modified xsi:type="dcterms:W3CDTF">2024-08-08T08:09:55Z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896D389169CE4F9594E4413E2FCA77FD</vt:lpwstr>
  </property>
  <property fmtid="{D5CDD505-2E9C-101B-9397-08002B2CF9AE}" pid="3" name="KSOProductBuildVer">
    <vt:lpwstr>2052-10.8.0.6157</vt:lpwstr>
  </property>
  <property fmtid="{D5CDD505-2E9C-101B-9397-08002B2CF9AE}" pid="4" name="commondata">
    <vt:lpwstr>eyJoZGlkIjoiYWU4OTM0ZDRhZmFhOGVjNmU4NzdkYmFjMzA4YzA1ZTkifQ==</vt:lpwstr>
  </property>
</Properties>
</file>